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baci\Desktop\svp 2023-2025\"/>
    </mc:Choice>
  </mc:AlternateContent>
  <bookViews>
    <workbookView xWindow="0" yWindow="0" windowWidth="28800" windowHeight="11700"/>
  </bookViews>
  <sheets>
    <sheet name="Planas" sheetId="2" r:id="rId1"/>
  </sheets>
  <definedNames>
    <definedName name="_xlnm.Print_Area" localSheetId="0">Planas!$A$1:$L$503</definedName>
    <definedName name="_xlnm.Print_Titles" localSheetId="0">Planas!$4:$6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2" l="1"/>
  <c r="E11" i="2" l="1"/>
  <c r="F11" i="2"/>
  <c r="G11" i="2"/>
  <c r="E14" i="2"/>
  <c r="F14" i="2"/>
  <c r="G14" i="2"/>
  <c r="E27" i="2"/>
  <c r="F27" i="2"/>
  <c r="G27" i="2"/>
  <c r="E29" i="2"/>
  <c r="F29" i="2"/>
  <c r="G29" i="2"/>
  <c r="E33" i="2"/>
  <c r="F33" i="2"/>
  <c r="G33" i="2"/>
  <c r="E37" i="2"/>
  <c r="F37" i="2"/>
  <c r="G37" i="2"/>
  <c r="E42" i="2"/>
  <c r="F42" i="2"/>
  <c r="G42" i="2"/>
  <c r="E48" i="2"/>
  <c r="F48" i="2"/>
  <c r="E61" i="2"/>
  <c r="F61" i="2"/>
  <c r="G61" i="2"/>
  <c r="E71" i="2"/>
  <c r="F71" i="2"/>
  <c r="G71" i="2"/>
  <c r="E78" i="2"/>
  <c r="F78" i="2"/>
  <c r="G78" i="2"/>
  <c r="E93" i="2"/>
  <c r="G93" i="2"/>
  <c r="E102" i="2"/>
  <c r="F102" i="2"/>
  <c r="G102" i="2"/>
  <c r="E107" i="2"/>
  <c r="F107" i="2"/>
  <c r="G107" i="2"/>
  <c r="E118" i="2"/>
  <c r="F118" i="2"/>
  <c r="G118" i="2"/>
  <c r="E122" i="2"/>
  <c r="F122" i="2"/>
  <c r="G122" i="2"/>
  <c r="E128" i="2"/>
  <c r="F128" i="2"/>
  <c r="G128" i="2"/>
  <c r="E141" i="2"/>
  <c r="F141" i="2"/>
  <c r="G141" i="2"/>
  <c r="E144" i="2"/>
  <c r="F144" i="2"/>
  <c r="G144" i="2"/>
  <c r="E152" i="2"/>
  <c r="E177" i="2"/>
  <c r="F177" i="2"/>
  <c r="G177" i="2"/>
  <c r="G175" i="2" s="1"/>
  <c r="E210" i="2"/>
  <c r="F210" i="2"/>
  <c r="G210" i="2"/>
  <c r="E215" i="2"/>
  <c r="E214" i="2" s="1"/>
  <c r="F215" i="2"/>
  <c r="F214" i="2" s="1"/>
  <c r="G215" i="2"/>
  <c r="G214" i="2" s="1"/>
  <c r="E222" i="2"/>
  <c r="F222" i="2"/>
  <c r="G222" i="2"/>
  <c r="E225" i="2"/>
  <c r="F225" i="2"/>
  <c r="G225" i="2"/>
  <c r="E235" i="2"/>
  <c r="F235" i="2"/>
  <c r="G235" i="2"/>
  <c r="E244" i="2"/>
  <c r="F244" i="2"/>
  <c r="G244" i="2"/>
  <c r="E246" i="2"/>
  <c r="F246" i="2"/>
  <c r="G246" i="2"/>
  <c r="E248" i="2"/>
  <c r="F248" i="2"/>
  <c r="G248" i="2"/>
  <c r="E252" i="2"/>
  <c r="F252" i="2"/>
  <c r="G252" i="2"/>
  <c r="E259" i="2"/>
  <c r="F259" i="2"/>
  <c r="G259" i="2"/>
  <c r="E262" i="2"/>
  <c r="F262" i="2"/>
  <c r="G262" i="2"/>
  <c r="E267" i="2"/>
  <c r="F267" i="2"/>
  <c r="G267" i="2"/>
  <c r="E273" i="2"/>
  <c r="F273" i="2"/>
  <c r="E278" i="2"/>
  <c r="F278" i="2"/>
  <c r="G278" i="2"/>
  <c r="E281" i="2"/>
  <c r="F281" i="2"/>
  <c r="G281" i="2"/>
  <c r="E284" i="2"/>
  <c r="F284" i="2"/>
  <c r="G284" i="2"/>
  <c r="E287" i="2"/>
  <c r="F287" i="2"/>
  <c r="G287" i="2"/>
  <c r="E294" i="2"/>
  <c r="E289" i="2" s="1"/>
  <c r="F294" i="2"/>
  <c r="F289" i="2" s="1"/>
  <c r="G294" i="2"/>
  <c r="G289" i="2" s="1"/>
  <c r="E300" i="2"/>
  <c r="F300" i="2"/>
  <c r="G300" i="2"/>
  <c r="E303" i="2"/>
  <c r="F303" i="2"/>
  <c r="G303" i="2"/>
  <c r="E310" i="2"/>
  <c r="E314" i="2"/>
  <c r="F314" i="2"/>
  <c r="G314" i="2"/>
  <c r="E320" i="2"/>
  <c r="F320" i="2"/>
  <c r="G320" i="2"/>
  <c r="E323" i="2"/>
  <c r="F323" i="2"/>
  <c r="G323" i="2"/>
  <c r="E325" i="2"/>
  <c r="F325" i="2"/>
  <c r="G325" i="2"/>
  <c r="E328" i="2"/>
  <c r="E333" i="2"/>
  <c r="E332" i="2" s="1"/>
  <c r="F333" i="2"/>
  <c r="F332" i="2" s="1"/>
  <c r="G333" i="2"/>
  <c r="G332" i="2" s="1"/>
  <c r="E341" i="2"/>
  <c r="F341" i="2"/>
  <c r="G341" i="2"/>
  <c r="E346" i="2"/>
  <c r="F346" i="2"/>
  <c r="G346" i="2"/>
  <c r="E352" i="2"/>
  <c r="F352" i="2"/>
  <c r="G352" i="2"/>
  <c r="E355" i="2"/>
  <c r="E358" i="2"/>
  <c r="F358" i="2"/>
  <c r="G358" i="2"/>
  <c r="E365" i="2"/>
  <c r="E363" i="2" s="1"/>
  <c r="F365" i="2"/>
  <c r="F363" i="2" s="1"/>
  <c r="G365" i="2"/>
  <c r="G363" i="2" s="1"/>
  <c r="E369" i="2"/>
  <c r="F369" i="2"/>
  <c r="G369" i="2"/>
  <c r="E374" i="2"/>
  <c r="F374" i="2"/>
  <c r="E378" i="2"/>
  <c r="F378" i="2"/>
  <c r="G378" i="2"/>
  <c r="E382" i="2"/>
  <c r="F382" i="2"/>
  <c r="G382" i="2"/>
  <c r="E385" i="2"/>
  <c r="F385" i="2"/>
  <c r="G385" i="2"/>
  <c r="E389" i="2"/>
  <c r="F389" i="2"/>
  <c r="G389" i="2"/>
  <c r="E394" i="2"/>
  <c r="F394" i="2"/>
  <c r="G394" i="2"/>
  <c r="E396" i="2"/>
  <c r="E402" i="2"/>
  <c r="F402" i="2"/>
  <c r="G402" i="2"/>
  <c r="E405" i="2"/>
  <c r="E410" i="2"/>
  <c r="E416" i="2"/>
  <c r="F416" i="2"/>
  <c r="G416" i="2"/>
  <c r="E419" i="2"/>
  <c r="F419" i="2"/>
  <c r="G419" i="2"/>
  <c r="E422" i="2"/>
  <c r="E421" i="2" s="1"/>
  <c r="F422" i="2"/>
  <c r="F421" i="2" s="1"/>
  <c r="G422" i="2"/>
  <c r="G421" i="2" s="1"/>
  <c r="E427" i="2"/>
  <c r="F427" i="2"/>
  <c r="G427" i="2"/>
  <c r="E433" i="2"/>
  <c r="E432" i="2" s="1"/>
  <c r="F433" i="2"/>
  <c r="F432" i="2" s="1"/>
  <c r="G433" i="2"/>
  <c r="G432" i="2" s="1"/>
  <c r="E436" i="2"/>
  <c r="F436" i="2"/>
  <c r="G436" i="2"/>
  <c r="E442" i="2"/>
  <c r="F442" i="2"/>
  <c r="G442" i="2"/>
  <c r="E450" i="2"/>
  <c r="E449" i="2" s="1"/>
  <c r="F449" i="2"/>
  <c r="G449" i="2"/>
  <c r="E455" i="2"/>
  <c r="F455" i="2"/>
  <c r="G455" i="2"/>
  <c r="E459" i="2"/>
  <c r="F459" i="2"/>
  <c r="G459" i="2"/>
  <c r="E463" i="2"/>
  <c r="E462" i="2" s="1"/>
  <c r="F462" i="2"/>
  <c r="G462" i="2"/>
  <c r="E474" i="2"/>
  <c r="F474" i="2"/>
  <c r="G474" i="2"/>
  <c r="E476" i="2"/>
  <c r="F476" i="2"/>
  <c r="G476" i="2"/>
  <c r="E478" i="2"/>
  <c r="F478" i="2"/>
  <c r="G478" i="2"/>
  <c r="E481" i="2"/>
  <c r="E480" i="2" s="1"/>
  <c r="F481" i="2"/>
  <c r="F480" i="2" s="1"/>
  <c r="G481" i="2"/>
  <c r="G480" i="2" s="1"/>
  <c r="E494" i="2"/>
  <c r="E491" i="2" s="1"/>
  <c r="E487" i="2" s="1"/>
  <c r="F494" i="2"/>
  <c r="F491" i="2" s="1"/>
  <c r="F487" i="2" s="1"/>
  <c r="G494" i="2"/>
  <c r="G491" i="2" s="1"/>
  <c r="G487" i="2" s="1"/>
  <c r="E498" i="2"/>
  <c r="F498" i="2"/>
  <c r="G498" i="2"/>
  <c r="G309" i="2" l="1"/>
  <c r="G307" i="2" s="1"/>
  <c r="F70" i="2"/>
  <c r="E429" i="2"/>
  <c r="E322" i="2"/>
  <c r="E319" i="2" s="1"/>
  <c r="G297" i="2"/>
  <c r="E175" i="2"/>
  <c r="F151" i="2"/>
  <c r="E435" i="2"/>
  <c r="G470" i="2"/>
  <c r="G468" i="2" s="1"/>
  <c r="E415" i="2"/>
  <c r="G391" i="2"/>
  <c r="F89" i="2"/>
  <c r="E453" i="2"/>
  <c r="E447" i="2" s="1"/>
  <c r="G435" i="2"/>
  <c r="G415" i="2"/>
  <c r="F297" i="2"/>
  <c r="E258" i="2"/>
  <c r="G220" i="2"/>
  <c r="F96" i="2"/>
  <c r="F435" i="2"/>
  <c r="G429" i="2"/>
  <c r="F429" i="2"/>
  <c r="F415" i="2"/>
  <c r="F373" i="2"/>
  <c r="F340" i="2"/>
  <c r="F220" i="2"/>
  <c r="G89" i="2"/>
  <c r="G373" i="2"/>
  <c r="E297" i="2"/>
  <c r="E470" i="2"/>
  <c r="E468" i="2" s="1"/>
  <c r="F453" i="2"/>
  <c r="F447" i="2" s="1"/>
  <c r="E391" i="2"/>
  <c r="E340" i="2"/>
  <c r="F309" i="2"/>
  <c r="F307" i="2" s="1"/>
  <c r="G258" i="2"/>
  <c r="E229" i="2"/>
  <c r="G117" i="2"/>
  <c r="E96" i="2"/>
  <c r="G70" i="2"/>
  <c r="F10" i="2"/>
  <c r="E401" i="2"/>
  <c r="G151" i="2"/>
  <c r="G10" i="2"/>
  <c r="F470" i="2"/>
  <c r="F468" i="2" s="1"/>
  <c r="G453" i="2"/>
  <c r="G447" i="2" s="1"/>
  <c r="F391" i="2"/>
  <c r="G322" i="2"/>
  <c r="G319" i="2" s="1"/>
  <c r="E309" i="2"/>
  <c r="E307" i="2" s="1"/>
  <c r="E272" i="2"/>
  <c r="F258" i="2"/>
  <c r="F229" i="2"/>
  <c r="E151" i="2"/>
  <c r="E10" i="2"/>
  <c r="F322" i="2"/>
  <c r="F319" i="2" s="1"/>
  <c r="G96" i="2"/>
  <c r="G229" i="2"/>
  <c r="E373" i="2"/>
  <c r="E338" i="2" s="1"/>
  <c r="G401" i="2"/>
  <c r="F401" i="2"/>
  <c r="F272" i="2"/>
  <c r="E117" i="2"/>
  <c r="G340" i="2"/>
  <c r="E70" i="2"/>
  <c r="G272" i="2"/>
  <c r="E220" i="2"/>
  <c r="F175" i="2"/>
  <c r="F117" i="2"/>
  <c r="E89" i="2"/>
  <c r="E426" i="2" l="1"/>
  <c r="F426" i="2"/>
  <c r="F338" i="2"/>
  <c r="F116" i="2"/>
  <c r="G426" i="2"/>
  <c r="E446" i="2"/>
  <c r="F9" i="2"/>
  <c r="E388" i="2"/>
  <c r="G446" i="2"/>
  <c r="F174" i="2"/>
  <c r="G174" i="2"/>
  <c r="E174" i="2"/>
  <c r="G338" i="2"/>
  <c r="F257" i="2"/>
  <c r="F256" i="2" s="1"/>
  <c r="G257" i="2"/>
  <c r="G256" i="2" s="1"/>
  <c r="E257" i="2"/>
  <c r="E256" i="2" s="1"/>
  <c r="E116" i="2"/>
  <c r="G388" i="2"/>
  <c r="G9" i="2"/>
  <c r="F446" i="2"/>
  <c r="E9" i="2"/>
  <c r="F388" i="2"/>
  <c r="G116" i="2"/>
  <c r="E337" i="2" l="1"/>
  <c r="G337" i="2"/>
  <c r="F337" i="2"/>
  <c r="F8" i="2"/>
  <c r="E8" i="2"/>
  <c r="G8" i="2"/>
  <c r="G7" i="2" s="1"/>
  <c r="E7" i="2" l="1"/>
  <c r="F7" i="2"/>
</calcChain>
</file>

<file path=xl/comments1.xml><?xml version="1.0" encoding="utf-8"?>
<comments xmlns="http://schemas.openxmlformats.org/spreadsheetml/2006/main">
  <authors>
    <author>tc={BC8A6446-72F1-41D6-8D69-85DA32050FF9}</author>
    <author>tc={C80D388F-8509-4705-A357-ADC982D6E698}</author>
    <author>tc={AF4BD6BB-01CE-4173-BED0-78DE895CC646}</author>
    <author>tc={D78BDE1C-47A3-429C-9835-C362E30DB9CC}</author>
    <author>tc={A3E3F9AD-1021-486F-B419-B1747B75256E}</author>
    <author>tc={E350C950-469A-462C-A889-531E37902053}</author>
  </authors>
  <commentList>
    <comment ref="A1" authorId="0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tik pastebėjimas - daug kur skiriasi reikšmėse atskyrimas - taškas arba kablelis - pvz 5,00 ir 5.00 - manau daug kur taškas, kur ranka susivesta - taisysiu į kablelį visur</t>
        </r>
      </text>
    </comment>
    <comment ref="M75" authorId="1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nieko 2024/2025?
Reply:
    tik 2023</t>
        </r>
      </text>
    </comment>
    <comment ref="M102" authorId="2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čia viskas ok? ar neturėtų tuomet likusį procentą skaidyti per visus tris metus, ar planuojamas įvykdymas per 2023/2024
Reply:
    taip turi buti.</t>
        </r>
      </text>
    </comment>
    <comment ref="M459" authorId="3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taip, kauno energija gauna subsidijas, ar as klystu?</t>
        </r>
      </text>
    </comment>
    <comment ref="M463" authorId="4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čia viskas ok, jei pinigai tik 2023 metams?
Reply:
    taip turi buti.</t>
        </r>
      </text>
    </comment>
    <comment ref="M479" authorId="5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neplanuoja nei vieno prijungt du metus?
Reply:
    ne, neplanuoja ir 2025, reikalavo rodiklio, todel yra reikšme</t>
        </r>
      </text>
    </comment>
  </commentList>
</comments>
</file>

<file path=xl/sharedStrings.xml><?xml version="1.0" encoding="utf-8"?>
<sst xmlns="http://schemas.openxmlformats.org/spreadsheetml/2006/main" count="2784" uniqueCount="1166">
  <si>
    <t>TVARUMO BEI ŽALIOJO KURSO PRINCIPAIS TVARIAI VALDOMO MIESTO PROGRAMOS</t>
  </si>
  <si>
    <t>PAPRIEMONIŲ IR JŲ IŠLAIDŲ, VERTINIMO KRITERIJŲ IR RODIKLIŲ SUVESTINĖ</t>
  </si>
  <si>
    <t>Kodas</t>
  </si>
  <si>
    <t>Pavadinimas</t>
  </si>
  <si>
    <t>Vykdytojas</t>
  </si>
  <si>
    <t>SP lėšos</t>
  </si>
  <si>
    <t>2023 m. skirta lėšų</t>
  </si>
  <si>
    <t>2024 m. skirta lėšų</t>
  </si>
  <si>
    <t>2025 m. skirta lėšų</t>
  </si>
  <si>
    <t>SVP veiklos efektyvumo kriterijai</t>
  </si>
  <si>
    <t>Mato vnt.</t>
  </si>
  <si>
    <t>Planas</t>
  </si>
  <si>
    <t>2023 m.</t>
  </si>
  <si>
    <t>2024 m.</t>
  </si>
  <si>
    <t>2025 m.</t>
  </si>
  <si>
    <t>3</t>
  </si>
  <si>
    <t>Tvarumo bei žaliojo kurso principais tvariai valdomo miesto programa</t>
  </si>
  <si>
    <t>3.1</t>
  </si>
  <si>
    <t>Tvari, nuolat tobulėjanti organizacija patogiam miestiečių gyvenimui</t>
  </si>
  <si>
    <t>3.1.1</t>
  </si>
  <si>
    <t>Tapti pirmaujančia organizacija, efektyviai naudojančia pažangius skaitmeninius sprendimus</t>
  </si>
  <si>
    <t>3.1.1.1</t>
  </si>
  <si>
    <t>Užtikrinti efektyvų pagrindinių miesto funkcijų vykdymą, auginant Savivaldybės administracijos darbuotojų kompetencijas</t>
  </si>
  <si>
    <t>3.1.1.1.001</t>
  </si>
  <si>
    <t>Savivaldybės skoliniams įsipareigojimams vykdyti</t>
  </si>
  <si>
    <t>Finansų ir ekonomikos skyrius</t>
  </si>
  <si>
    <t>1.1.2.</t>
  </si>
  <si>
    <t>Laiku grąžintų paskolų dalis nuo visų paskolų</t>
  </si>
  <si>
    <t>Proc.</t>
  </si>
  <si>
    <t>100,00</t>
  </si>
  <si>
    <t>Paskolų sutarčių skaičius</t>
  </si>
  <si>
    <t>Vnt.</t>
  </si>
  <si>
    <t>5,00</t>
  </si>
  <si>
    <t>Laiku sumokėtų palūkanų dalis nuo visų priskaičiuotų palūkanų dalies</t>
  </si>
  <si>
    <t>50,00</t>
  </si>
  <si>
    <t>3.1.1.1.002</t>
  </si>
  <si>
    <t>Kauno miesto savivaldybės institucijų žmogiškųjų išteklių valdymas ir kompetencijų tobulinimas</t>
  </si>
  <si>
    <t>Atsakymų, pateiktų per teisės aktais nustatytus terminus, dalis</t>
  </si>
  <si>
    <t>96,00</t>
  </si>
  <si>
    <t>97,00</t>
  </si>
  <si>
    <t>Apmokėtų paraiškų dalis nuo visų apmokėti pateiktų paraiškų</t>
  </si>
  <si>
    <t>Darbuotojų, kuriems laiku sumokėtos išmokos, dalis nuo visų darbuotojų skaičiaus</t>
  </si>
  <si>
    <t>Darbuotojų skaičius</t>
  </si>
  <si>
    <t>635,25</t>
  </si>
  <si>
    <t>Teismo posėdžių skaičius</t>
  </si>
  <si>
    <t>220,00</t>
  </si>
  <si>
    <t>Sveikatos politikos priemonių skaičius</t>
  </si>
  <si>
    <t>1,00</t>
  </si>
  <si>
    <t>0,00</t>
  </si>
  <si>
    <t>Vidutinis mėnesinis darbuotojo darbo užmokestis</t>
  </si>
  <si>
    <t>Eur</t>
  </si>
  <si>
    <t>2 423,25</t>
  </si>
  <si>
    <t>2 660,00</t>
  </si>
  <si>
    <t>2 800,00</t>
  </si>
  <si>
    <t>Parengtų (patikslintų) programų sąmatų (projektų) skaičius</t>
  </si>
  <si>
    <t>5 380,00</t>
  </si>
  <si>
    <t>5 180,00</t>
  </si>
  <si>
    <t>Parengtų ataskaitų rinkinių skaičius</t>
  </si>
  <si>
    <t>8,00</t>
  </si>
  <si>
    <t>Parengtų teisės aktų projektų (informacijų) skaičius</t>
  </si>
  <si>
    <t>6,00</t>
  </si>
  <si>
    <t>Laiku apmokėtų sąskaitų dalis nuo visų pateiktų apmokėti sąskaitų</t>
  </si>
  <si>
    <t>83,75</t>
  </si>
  <si>
    <t>86,25</t>
  </si>
  <si>
    <t>Įstaigų skaičius</t>
  </si>
  <si>
    <t>180,00</t>
  </si>
  <si>
    <t>3.1.1.1.003</t>
  </si>
  <si>
    <t>Savivaldybės institucijų ūkinio ir materialinio aptarnavimo užtikrinimas</t>
  </si>
  <si>
    <t>Bendrųjų reikalų skyrius</t>
  </si>
  <si>
    <t>Panaudotų asignavimų dalis nuo skirtų asignavimų  numatytų SVP remonto darbams ir prekėms bei paslaugoms įsigyti</t>
  </si>
  <si>
    <t>3.1.1.1.004</t>
  </si>
  <si>
    <t>Lietuvos finansinės paramos, ES ir kitų tarptautinių programų, kitų planavimo dokumentų rengimas ir projektų įgyvendinimas</t>
  </si>
  <si>
    <t>Investicijų ir projektų skyrius</t>
  </si>
  <si>
    <t>Įgyvendinamų projektų skaičius</t>
  </si>
  <si>
    <t>Dokumentų, rengiamų siekiant gauti finansavimą projektams, skaičius</t>
  </si>
  <si>
    <t>12,00</t>
  </si>
  <si>
    <t>3.1.1.1.005</t>
  </si>
  <si>
    <t>Mero institucijos ir Savivaldybės tarybos narių veiklos užtikrinimas</t>
  </si>
  <si>
    <t>3 474,00</t>
  </si>
  <si>
    <t>3 650,00</t>
  </si>
  <si>
    <t>3 800,00</t>
  </si>
  <si>
    <t>Valstybės politikų, kuriems suplanuotas metinis darbo užmokesčio fondas, dalis nuo visų valstybės politikų skaičiaus</t>
  </si>
  <si>
    <t>Vidutinis darbuotojų skaičius</t>
  </si>
  <si>
    <t>41,00</t>
  </si>
  <si>
    <t>3.1.1.1.006</t>
  </si>
  <si>
    <t>Savivaldybės tarybos ir mero sekretoriato veiklos užtikrinimas</t>
  </si>
  <si>
    <t>2 400,00</t>
  </si>
  <si>
    <t>2 612,50</t>
  </si>
  <si>
    <t>Darbuotojų, kuriems suplanuotas metinis darbo užmokesčio fondas, dalis nuo patvirtinto etatų sąraše darbuotojų  skaičiaus</t>
  </si>
  <si>
    <t>15,00</t>
  </si>
  <si>
    <t>3.1.1.1.007</t>
  </si>
  <si>
    <t>Savivaldybės kontrolės ir audito tarnybos veiklos užtikrinimas</t>
  </si>
  <si>
    <t>3 161,00</t>
  </si>
  <si>
    <t>3 410,00</t>
  </si>
  <si>
    <t>3 550,00</t>
  </si>
  <si>
    <t>Laiku apmokėtų sąskaitų dalis nuo visų apmokėjimui pateiktų sąskaitų dalies</t>
  </si>
  <si>
    <t>Finansinių ir biudžeto vykdymo ataskaitų rinkiniai</t>
  </si>
  <si>
    <t>3.1.1.1.008</t>
  </si>
  <si>
    <t>Teisinis konsultavimas, teisinis atstovavimas, teismų sprendimų vykdymas</t>
  </si>
  <si>
    <t>Teisės ir konsultavimo skyrius</t>
  </si>
  <si>
    <t>Taikos sutartimis užbaigtų bylų dalis nuo visų baigtų bylų</t>
  </si>
  <si>
    <t>8,50</t>
  </si>
  <si>
    <t>9,00</t>
  </si>
  <si>
    <t>Pateiktų vykdyti vykdomųjų dokumentų skaičius</t>
  </si>
  <si>
    <t>95,00</t>
  </si>
  <si>
    <t>90,00</t>
  </si>
  <si>
    <t>Dokumentinio proceso tvarka teismui pateiktų pareiškimų ir ieškinių dalis nuo visų teismui pateiktų ieškinių, pareiškimų ir skundų</t>
  </si>
  <si>
    <t>50,50</t>
  </si>
  <si>
    <t>51,00</t>
  </si>
  <si>
    <t>Laimėtų bylų skaičiaus dalis nuo bylų, kuriose KMS/ KMSA buvo ginčo šalimi</t>
  </si>
  <si>
    <t>56,00</t>
  </si>
  <si>
    <t>57,00</t>
  </si>
  <si>
    <t>58,00</t>
  </si>
  <si>
    <t>3.1.1.1.009</t>
  </si>
  <si>
    <t>Rinkimų rengimo išlaidoms</t>
  </si>
  <si>
    <t>Suorganizuota rinkimų/ referendumų skaičius</t>
  </si>
  <si>
    <t>3.1.1.1.010</t>
  </si>
  <si>
    <t>Projektų valdymo kokybės gerinimas</t>
  </si>
  <si>
    <t>Per projektų valdymo sistemą valdomų projektų dalis nuo visų Kauno m. savivaldybėje įgyvendinamų projektų</t>
  </si>
  <si>
    <t>3.1.1.1.011</t>
  </si>
  <si>
    <t>Kauno miesto savivaldybės administracijos darbuotojų kompetencijų tobulinimas</t>
  </si>
  <si>
    <t>Personalo valdymo skyrius</t>
  </si>
  <si>
    <t>Darbuotojų kaitos indeksas</t>
  </si>
  <si>
    <t>P.</t>
  </si>
  <si>
    <t>0,28</t>
  </si>
  <si>
    <t>Pateiktų rekomendacijų skaičius</t>
  </si>
  <si>
    <t>4,00</t>
  </si>
  <si>
    <t>Išanalizuotų Kauno miesto savivaldybės administracijos padalinių pateiktų dokumentų dėl darbuotojų skatinimo ir pateiktų siūlymų skaičius</t>
  </si>
  <si>
    <t>Atliktų Kauno miesto savivaldybės administracijos padalinių vykdomų funkcijų analizių kiekis nuo visų padalinių skaičiaus</t>
  </si>
  <si>
    <t>40,00</t>
  </si>
  <si>
    <t>Parengtų reikiamų tvarkų, aprašų ar pan. skaičius</t>
  </si>
  <si>
    <t>Parengtų techninių specifikacijų ir kitų reikiamų viešojo pirkimo dokumentų skaičius</t>
  </si>
  <si>
    <t>16,00</t>
  </si>
  <si>
    <t>20,00</t>
  </si>
  <si>
    <t>Mokymuose iš kitų asmenų dalyvavusių Kauno miesto savivaldybės administracijos darbuotojų skaičius</t>
  </si>
  <si>
    <t>280,00</t>
  </si>
  <si>
    <t>320,00</t>
  </si>
  <si>
    <t>Mokymuose iš kitų asmenų dalyvavusių Kauno miesto savivaldybės administracijos darbuotojų dalis nuo viso darbuotojų skaičiaus</t>
  </si>
  <si>
    <t>46,00</t>
  </si>
  <si>
    <t>Asmens duomenų apsaugos mokymuose dalyvavusių darbuotojų dalis nuo visų darbuotojų skaičiaus</t>
  </si>
  <si>
    <t>30,00</t>
  </si>
  <si>
    <t>Organizuotų konkursų ir atrankų skaičius</t>
  </si>
  <si>
    <t>70,00</t>
  </si>
  <si>
    <t>Įvertintų valstybės tarnautojų, darbuotojų, surašytų vertinimo išvadų skaičius</t>
  </si>
  <si>
    <t>784,00</t>
  </si>
  <si>
    <t>Atliktų tyrimų ir surašytų išvadų, skaičius</t>
  </si>
  <si>
    <t>Praktikos atlikimui priimtų studentų skaičius</t>
  </si>
  <si>
    <t>25,00</t>
  </si>
  <si>
    <t>3.1.1.1.012</t>
  </si>
  <si>
    <t>Kauno miesto savivaldybės darbuotojų saugos ir sveikatos užtikrinimas</t>
  </si>
  <si>
    <t>3,00</t>
  </si>
  <si>
    <t>Atliktų tyrimų skaičius</t>
  </si>
  <si>
    <t>Atliktų periodinių Kauno miesto savivaldybės administracijos sveikatos patikrinimų skaičius</t>
  </si>
  <si>
    <t>140,00</t>
  </si>
  <si>
    <t>Paskiepytų Kauno miesto savivaldybės administracijos darbuotojų skaičius</t>
  </si>
  <si>
    <t>260,00</t>
  </si>
  <si>
    <t>Sveikatos draudimu apdraustų Kauno miesto savivaldybės administracijos darbuotojų skaičius</t>
  </si>
  <si>
    <t>150,00</t>
  </si>
  <si>
    <t>200,00</t>
  </si>
  <si>
    <t>3.1.1.1.013</t>
  </si>
  <si>
    <t>Viešųjų pirkimų efektyvumo didinimas</t>
  </si>
  <si>
    <t>Centrinis viešųjų pirkimų ir koncesijų skyrius</t>
  </si>
  <si>
    <t>Pirkimų, atliekamų pagal ekonominio naudingumo (kainos ir kokybės) vertinimo kriterijus, dalis nuo visų atliktų pirkimų vertės</t>
  </si>
  <si>
    <t>65,00</t>
  </si>
  <si>
    <t>3.1.1.1.014</t>
  </si>
  <si>
    <t>Viešųjų pirkimų procedūrų kokybės gerinimas</t>
  </si>
  <si>
    <t>Savivaldybės bei jos įstaigų įvykusių pirkimų dalis nuo visų vykdytų pirkimų</t>
  </si>
  <si>
    <t>80,00</t>
  </si>
  <si>
    <t>3.1.1.1.015</t>
  </si>
  <si>
    <t>Korupcijos riziką mažinančių priemonių įgyvendinimas</t>
  </si>
  <si>
    <t>Administracija</t>
  </si>
  <si>
    <t>Parengtų Savivaldybės norminių teisės aktų projektų antikorupcinio vertinimo pažymų dalis nuo visų šią funkciją atliekančiam darbuotojui pateiktų vertinti norminių teisės aktų projektų</t>
  </si>
  <si>
    <t>Parengtų Savivaldybės korupcijos prevencijos veiksmų planų skaičius</t>
  </si>
  <si>
    <t>3.1.1.2</t>
  </si>
  <si>
    <t>Didinti Savivaldybės administracijos ir jos atliekamų funkcijų skaitmenizacijos lygį</t>
  </si>
  <si>
    <t>3.1.1.2.001</t>
  </si>
  <si>
    <t>Informacinių sistemų, programinės įrangos ir techninės bazės modernizavimas, priežiūra  ir plėtra Savivaldybės institucijose</t>
  </si>
  <si>
    <t>E. paslaugų ir informacinių technologijų skyrius</t>
  </si>
  <si>
    <t>Modernizuotų informacinių sistemų skaičius</t>
  </si>
  <si>
    <t>13,00</t>
  </si>
  <si>
    <t>Įsigytos naujos įrangos skaičius</t>
  </si>
  <si>
    <t>Sklandaus serverių darbo laiko dalis nuo viso serverių darbo laiko</t>
  </si>
  <si>
    <t>97,80</t>
  </si>
  <si>
    <t>Techninės duomenų saugos atitikties valdymo tarpinių sričių vertinimų vidurkis</t>
  </si>
  <si>
    <t>4,05</t>
  </si>
  <si>
    <t>4,23</t>
  </si>
  <si>
    <t>4,08</t>
  </si>
  <si>
    <t>Robotizuotų procesų skaičius</t>
  </si>
  <si>
    <t>3.1.1.2.002</t>
  </si>
  <si>
    <t>Administracinės naštos mažinimas diegiant informacines sistemas</t>
  </si>
  <si>
    <t>Įdiegtų informacinių sistemų skaičius</t>
  </si>
  <si>
    <t>3.1.1.2.003</t>
  </si>
  <si>
    <t>Dokumentų valdymo procesų tobulinimas</t>
  </si>
  <si>
    <t>Dokumentų skyrius</t>
  </si>
  <si>
    <t>Kvalifikuotu elektroniniu parašu pasirašytų sutarčių / susitarimų santykinė dalis nuo visų užregistruotų sutarčių / susitarimų skaičiaus</t>
  </si>
  <si>
    <t>3.1.1.2.004</t>
  </si>
  <si>
    <t>Programų valdymo efektyvumo didinimas</t>
  </si>
  <si>
    <t>Strateginio planavimo, analizės ir programų valdymo skyrius</t>
  </si>
  <si>
    <t>Patenkintų paslaugomis pareiškėjų dalis nuo visų pareiškėjų</t>
  </si>
  <si>
    <t>72,00</t>
  </si>
  <si>
    <t>73,00</t>
  </si>
  <si>
    <t>74,00</t>
  </si>
  <si>
    <t>Administruojamų svetainių skaičius</t>
  </si>
  <si>
    <t>2,00</t>
  </si>
  <si>
    <t>Atliktų projektų vykdytojų, ekspertų, pareiškėjų nuomonės apklausų skaičius</t>
  </si>
  <si>
    <t>Parengtų Programos „Iniciatyvos Kaunui“ įgyvendinimo ataskaitų skaičius</t>
  </si>
  <si>
    <t>3.1.1.2.005</t>
  </si>
  <si>
    <t>Administracinės naštos viešuosiuose pirkimuose mažinimas</t>
  </si>
  <si>
    <t>Centrinės perkančiosios organizacijos funkcijų vykdymas viešuose pirkimuose</t>
  </si>
  <si>
    <t>3.1.1.2.006</t>
  </si>
  <si>
    <t>Administracinės naštos mažinimas naudojant informacines sistemas švietimo srityje</t>
  </si>
  <si>
    <t>Švietimo skyrius</t>
  </si>
  <si>
    <t>Užsakymų Kauno salių rezervavimo sistemoje skaičiaus pokytis lyginant su praeitais metais</t>
  </si>
  <si>
    <t>3.1.1.2.007</t>
  </si>
  <si>
    <t>Administracinės naštos mažinimas naudojant informacines sistemas sporto srityje</t>
  </si>
  <si>
    <t>Sporto skyrius</t>
  </si>
  <si>
    <t>2,50</t>
  </si>
  <si>
    <t>2,75</t>
  </si>
  <si>
    <t>3,25</t>
  </si>
  <si>
    <t>Veiklų, kuriose nebuvo atliktas nei vienas žymėjimas, Popamokinių veiklų lankomumo informacinėje sistemoje, dalis nuo visų suplanuotų veiklų</t>
  </si>
  <si>
    <t>10,00</t>
  </si>
  <si>
    <t>3.1.1.2.008</t>
  </si>
  <si>
    <t>Administracinės naštos mažinimas tvarkant miestą naudojant informacines sistemas</t>
  </si>
  <si>
    <t>Miesto tvarkymo skyrius</t>
  </si>
  <si>
    <t>Išduodamų leidimų laidoti besikreipiantiems piliečiams išdavimo laikas, jeigu piliečio pateikti dokumentai yra teisingi/tvarkingi</t>
  </si>
  <si>
    <t>Min.</t>
  </si>
  <si>
    <t>11,00</t>
  </si>
  <si>
    <t>3.1.1.2.009</t>
  </si>
  <si>
    <t>Administracinės naštos mažinimas teikiant leidimų išdavimo paslaugas naudojant informacines sistemas</t>
  </si>
  <si>
    <t>Licencijų, leidimų ir paslaugų skyrius</t>
  </si>
  <si>
    <t>Laiko skirtumas, pateikiant prašymą per LILIS savitarnos sistemą išduoduoti naują leidimą seno leidimo pagrindu (pratęsimas) ir teikiant prašymą ne LILIS savitarnos sistemoje</t>
  </si>
  <si>
    <t>14,00</t>
  </si>
  <si>
    <t>3.1.1.3</t>
  </si>
  <si>
    <t>Skatinti atvirų duomenų naudojimą sprendimų priėmimo procesuose</t>
  </si>
  <si>
    <t>3.1.1.4</t>
  </si>
  <si>
    <t>Siekti integruotos, į rezultatų užtikrinimą nukreiptos, planavimo ir rezultatų stebėsenos sistemos</t>
  </si>
  <si>
    <t>3.1.1.4.001</t>
  </si>
  <si>
    <t>Užtikrinti vidaus kontrolės vertinimą ir tobulinimą</t>
  </si>
  <si>
    <t>Centralizuotas vidaus audito skyrius</t>
  </si>
  <si>
    <t>Rekomendacijų įgyvendintų pirminiais terminais dalis nuo visų įgyvendintų rekomendacijų</t>
  </si>
  <si>
    <t>85,00</t>
  </si>
  <si>
    <t>87,00</t>
  </si>
  <si>
    <t>89,00</t>
  </si>
  <si>
    <t>Atliktų vidaus auditų dalis nuo visų tais metais planuotų atlikti auditų</t>
  </si>
  <si>
    <t>Kauno miesto savivaldybės administracijos vidaus kontrolės vertinimo ir analizės metodikos parengimas</t>
  </si>
  <si>
    <t>3.1.1.4.002</t>
  </si>
  <si>
    <t>Strateginio planavimo, analizės ir procesų užtikrinimas</t>
  </si>
  <si>
    <t>Patvirtintų strateginių dokumentų bei jų vykdymo ataskaitų skaičius</t>
  </si>
  <si>
    <t>Atliktų gyventojų nuomonės tyrimų skaičius</t>
  </si>
  <si>
    <t>Parengtų vidinės komunikacijos planų skaičius</t>
  </si>
  <si>
    <t>3.1.1.5</t>
  </si>
  <si>
    <t>Vystyti pažangiausius Savivaldybės ir Savivaldybei pavaldžių įstaigų turto valdymo sprendimus</t>
  </si>
  <si>
    <t>3.1.1.5.001</t>
  </si>
  <si>
    <t>Visuomeninės paskirties objektų koncesijos mokesčiai</t>
  </si>
  <si>
    <t>Administruojamų koncesijos sutarčių skaičius</t>
  </si>
  <si>
    <t>7,00</t>
  </si>
  <si>
    <t>3.1.1.5.002</t>
  </si>
  <si>
    <t>Savivaldybės būsto sutarčių vykdymo kontrolės efektyvinimas</t>
  </si>
  <si>
    <t>Nekilnojamojo turto skyrius</t>
  </si>
  <si>
    <t>Būsto nuomos skolos augimo sumažėjimas</t>
  </si>
  <si>
    <t>Socialinio būsto nuomininkų, pateikusių deklaracijas, dalis nuo visų tokio būsto nuomininkų</t>
  </si>
  <si>
    <t>Apsilankymų išnuomotuose socialiniuose būstuose, siekiant  skatinti nuomininkų socialinį ir ekonominį aktyvumą, integraciją į darbo rinką ir savarankiškumą, skaičius</t>
  </si>
  <si>
    <t>300,00</t>
  </si>
  <si>
    <t>Apžiūrėtų išnuomotų būstų, siekiant įvertinti turto būklę,  skaičius</t>
  </si>
  <si>
    <t>1 010,00</t>
  </si>
  <si>
    <t>1 100,00</t>
  </si>
  <si>
    <t>3.1.1.5.003</t>
  </si>
  <si>
    <t>Žemės paėmimas visuomenės poreikiams, nekilnojamojo turto įgijimas Savivaldybės nuosavybėn</t>
  </si>
  <si>
    <t>Iš viso:</t>
  </si>
  <si>
    <t>Įvykdyta žemės sklypo dalies ir statinių, esančių Kruonio g. 21, Kaune, paėmimo visuomenės poreikiams procedūrų dalis</t>
  </si>
  <si>
    <t>1.1.1.</t>
  </si>
  <si>
    <t>Įvykdyta žemės ir statinių, reikalingų H. Ir O. Minkovskių g. (nuo M. K. Čiurlionio tilto ir 3-iosios siurblinės) rekonstrukcijai, paėmimo visuomenės poreikiams procedūrų dalis</t>
  </si>
  <si>
    <t>60,00</t>
  </si>
  <si>
    <t>Įvykdyta žemės sklypų dalių ir statinių, reikalingų Vijūkų g. daliai (nuo A. Šapokos g. iki Vakarinio aplinkkelio) įrengti, paėmimo visuomenės poreikiams procedūrų dalis</t>
  </si>
  <si>
    <t>55,00</t>
  </si>
  <si>
    <t>3.1.1.5.004</t>
  </si>
  <si>
    <t>Savivaldybės valdomų žemės sklypų tvarkymo, priežiūros ir valdymo efektyvinimas</t>
  </si>
  <si>
    <t>Apžiūrėtų neužstatytų žemės sklypų dalis nuo visų tokių žemės sklypų</t>
  </si>
  <si>
    <t>Sutvarkytų žemės sklypų pagal nustatytą poreikį dalis</t>
  </si>
  <si>
    <t>3.1.1.5.005</t>
  </si>
  <si>
    <t>Racionalaus ir efektyvaus Savivaldybės nekilnojamojo turto valdymo užtikrinimas</t>
  </si>
  <si>
    <t>Įgytų ir įdiegtų nekilnojamojo turto valdymo informacinių sistemų skaičius</t>
  </si>
  <si>
    <t>Įsteigtų analitinių kompetencijų centrų skaičius</t>
  </si>
  <si>
    <t>Priimtų teisės aktų, kuriais patvirtintas Savivaldybės nekilnojamojo turto valdymo modelis ir investicijų į šį turtą principai ir tvarka, skaičius</t>
  </si>
  <si>
    <t>Įsteigtų savivaldybės būsto administravimo įstaigų skaičius</t>
  </si>
  <si>
    <t>Nenaudojamų Savivaldybės pastatų (patalpų) ploto dalis nuo viso Savivaldybės nuosavybės teise valdomo pastatų (patalpų) ploto</t>
  </si>
  <si>
    <t>2,68</t>
  </si>
  <si>
    <t>2,35</t>
  </si>
  <si>
    <t>2,08</t>
  </si>
  <si>
    <t>Savivaldybės gautos lėšos už Savivaldybės nekilnojamojo turto pardavimą aukciono būdu</t>
  </si>
  <si>
    <t>4 000 000,00</t>
  </si>
  <si>
    <t>3 000 000,00</t>
  </si>
  <si>
    <t>2 000 000,00</t>
  </si>
  <si>
    <t>Savivaldybės gautos lėšos už Savivaldybės negyvenamosios paskirties turto nuomą</t>
  </si>
  <si>
    <t>900 000,00</t>
  </si>
  <si>
    <t>800 000,00</t>
  </si>
  <si>
    <t>760 000,00</t>
  </si>
  <si>
    <t>Apžiūrėtų naudotojams perduotų negyvenamosios paskirties objektų, siekiant įvertinti turto naudojimą, dalis nuo visų naudotojams perduotų objektų</t>
  </si>
  <si>
    <t>3.1.1.5.006</t>
  </si>
  <si>
    <t>Administracinio pastato L. Sapiegos g. 8A, Kaune, statyba</t>
  </si>
  <si>
    <t>Statybos valdymo skyrius</t>
  </si>
  <si>
    <t>Atliktų veiklų dalis nuo visų projekto veiklų</t>
  </si>
  <si>
    <t>22,00</t>
  </si>
  <si>
    <t>26,00</t>
  </si>
  <si>
    <t>3.1.2</t>
  </si>
  <si>
    <t>Skatinti tvarų, visą organizaciją apjungiantį paslaugų kūrimo ir tobulinimo procesą</t>
  </si>
  <si>
    <t>3.1.2.1</t>
  </si>
  <si>
    <t>Didinti gyventojų pasitenkinimą Savivaldybės ir jai pavaldžių įstaigų teikiamomis paslaugomis</t>
  </si>
  <si>
    <t>3.1.2.1.001</t>
  </si>
  <si>
    <t>Archyvinių dokumentų tvarkymas (valstybinė funkcija)</t>
  </si>
  <si>
    <t>1.3.1.</t>
  </si>
  <si>
    <t>Archyvų poskyryje elektroniniu kvalifikuotu parašu pasirašytų siunčiamų dokumentų  ir visų parengtų siunčiamų dokumentų santykinė dalis</t>
  </si>
  <si>
    <t>Sunaikintų dokumentų dalis, kurių pasibaigęs saugojimo terminas, nuo visų atrinktų, reikalingų sunaikinti dokumentų kiekio</t>
  </si>
  <si>
    <t>3.1.2.1.002</t>
  </si>
  <si>
    <t>Gyventojų registro tvarkymas ir duomenų teikimas valstybės registrams  (valstybinė funkcija)</t>
  </si>
  <si>
    <t>Klientų aptarnavimo ir informavimo skyrius</t>
  </si>
  <si>
    <t>Elektroniniu būdu VĮ „Registrų centras“ perduotų dokumentų skaičius</t>
  </si>
  <si>
    <t>4 400,00</t>
  </si>
  <si>
    <t>4 450,00</t>
  </si>
  <si>
    <t>4 100,00</t>
  </si>
  <si>
    <t>3.1.2.1.003</t>
  </si>
  <si>
    <t>Duomenims teikti Suteiktos valstybės pagalbos registrui (valstybinė funkcija)</t>
  </si>
  <si>
    <t>Teisingai užpildytų ir perduotų įrašų dalis nuo visų atitinkančių atrankos kriterijus perduotų įrašų skaičiaus</t>
  </si>
  <si>
    <t>3.1.2.1.004</t>
  </si>
  <si>
    <t>Valstybės garantuojamos pirminės teisinės pagalbos teikimas  (valstybinė funkcija)</t>
  </si>
  <si>
    <t>Valstybės garantuojamos pirminės teisinės pagalbos gavėjų skaičiaus santykis su miesto gyventojų skaičiumi</t>
  </si>
  <si>
    <t>Gyventojų, kuriems suteikta pirminė teisinė pagalba, skaičius</t>
  </si>
  <si>
    <t>2 500,00</t>
  </si>
  <si>
    <t>Gautų skundų kiekis</t>
  </si>
  <si>
    <t>3.1.2.1.005</t>
  </si>
  <si>
    <t>Piliečių prašymams atkurti nuosavybės teises nagrinėjimas ir sprendimų dėl nuosavybės atkūrimo priėmimas  (valstybinė funkcija)</t>
  </si>
  <si>
    <t>Priimtų sprendimų, išnagrinėjus prašymus, skaičius</t>
  </si>
  <si>
    <t>3.1.2.1.006</t>
  </si>
  <si>
    <t>Valstybės garantijoms nuomininkams vykdyti  (valstybinė funkcija)</t>
  </si>
  <si>
    <t>Įvykdytų garantijų skaičius</t>
  </si>
  <si>
    <t>3.1.2.1.007</t>
  </si>
  <si>
    <t>Savininkams atlyginti už valstybės išperkamus gyvenamuosius namus, jų dalis, butus (valstybinė funkcija)</t>
  </si>
  <si>
    <t>1.3.6.</t>
  </si>
  <si>
    <t>Gautų lėšų ir išmokėtų kompensacijų santykis</t>
  </si>
  <si>
    <t>3.1.2.1.008</t>
  </si>
  <si>
    <t>Gyvenamajai vietai deklaruoti (valstybinė funkcija)</t>
  </si>
  <si>
    <t>Aleksoto seniūnijoje bendra elektroninėmis deklaravimo paslaugomis pasinaudojusių gyventojų dalis nuo visų deklaravimo paslaugą gavusių gyventojų</t>
  </si>
  <si>
    <t>21,50</t>
  </si>
  <si>
    <t>22,50</t>
  </si>
  <si>
    <t>23,00</t>
  </si>
  <si>
    <t>Centro seniūnijoje bendra elektroninėmis deklaravimo paslaugomis pasinaudojusių gyventojų dalis nuo visų deklaravimo paslaugą gavusių gyventojų</t>
  </si>
  <si>
    <t>18,50</t>
  </si>
  <si>
    <t>19,00</t>
  </si>
  <si>
    <t>19,50</t>
  </si>
  <si>
    <t>Dainavos seniūnijoje bendra elektroninėmis deklaravimo paslaugomis pasinaudojusių gyventojų dalis nuo visų deklaravimo paslaugą gavusių gyventojų</t>
  </si>
  <si>
    <t>17,50</t>
  </si>
  <si>
    <t>18,75</t>
  </si>
  <si>
    <t>Eigulių seniūnijoje bendra elektroninėmis deklaravimo paslaugomis pasinaudojusių gyventojų dalis nuo visų deklaravimo paslaugą gavusių gyventojų</t>
  </si>
  <si>
    <t>Gričiupio seniūnijoje bendra elektroninėmis deklaravimo paslaugomis pasinaudojusių gyventojų dalis nuo visų deklaravimo paslaugą gavusių gyventojų</t>
  </si>
  <si>
    <t>17,25</t>
  </si>
  <si>
    <t>18,00</t>
  </si>
  <si>
    <t>Panemunės seniūnijoje bendra elektroninėmis deklaravimo paslaugomis pasinaudojusių gyventojų dalis nuo visų deklaravimo paslaugą gavusių gyventojų</t>
  </si>
  <si>
    <t>17,00</t>
  </si>
  <si>
    <t>Petrašiūnų seniūnijoje bendra elektroninėmis deklaravimo paslaugomis pasinaudojusių gyventojų dalis nuo visų deklaravimo paslaugą gavusių gyventojų</t>
  </si>
  <si>
    <t>16,75</t>
  </si>
  <si>
    <t>17,75</t>
  </si>
  <si>
    <t>Šančių seniūnijoje bendra elektroninėmis deklaravimo paslaugomis pasinaudojusių gyventojų dalis nuo visų deklaravimo paslaugą gavusių gyventojų</t>
  </si>
  <si>
    <t>12,50</t>
  </si>
  <si>
    <t>13,50</t>
  </si>
  <si>
    <t>14,50</t>
  </si>
  <si>
    <t>Šilainių seniūnijoje bendra elektroninėmis deklaravimo paslaugomis pasinaudojusių gyventojų dalis nuo visų deklaravimo paslaugą gavusių gyventojų</t>
  </si>
  <si>
    <t>20,50</t>
  </si>
  <si>
    <t>Vilijampolės seniūnijoje bendra elektroninėmis deklaravimo paslaugomis pasinaudojusių gyventojų dalis nuo visų deklaravimo paslaugą gavusių gyventojų</t>
  </si>
  <si>
    <t>Žaliakalnio seniūnijoje bendra elektroninėmis deklaravimo paslaugomis pasinaudojusių gyventojų dalis nuo visų deklaravimo paslaugą gavusių gyventojų</t>
  </si>
  <si>
    <t>19,25</t>
  </si>
  <si>
    <t>3.1.2.1.009</t>
  </si>
  <si>
    <t>Civilinės būklės aktų registravimas (valstybinė funkcija)</t>
  </si>
  <si>
    <t>Civilinės būklės aktų įregistravimo paslaugos gavėjų skaičius</t>
  </si>
  <si>
    <t>11 000,00</t>
  </si>
  <si>
    <t>12 000,00</t>
  </si>
  <si>
    <t>3.1.2.1.010</t>
  </si>
  <si>
    <t>Valstybinės kalbos vartojimo ir taisyklingumo kontrolė (valstybinė funkcija)</t>
  </si>
  <si>
    <t>Viešosios tvarkos skyrius</t>
  </si>
  <si>
    <t>Valstybinės kalbos vartojimo ir taisyklingumo kontrolės procedūrų skaičius</t>
  </si>
  <si>
    <t>1 600,00</t>
  </si>
  <si>
    <t>3.1.2.1.011</t>
  </si>
  <si>
    <t>Žemės ūkio funkcijoms vykdyti (valstybinė funkcija)</t>
  </si>
  <si>
    <t>Aptarnautų asmenų kiekis nuo visų besikreipiančių asmenų</t>
  </si>
  <si>
    <t>Dėl žemės ūkio funkcijų vykdymo aptarnautų asmenų skaičius</t>
  </si>
  <si>
    <t>94,00</t>
  </si>
  <si>
    <t>Dėl žemės ūkio technikos registravimo organizavimo aptarnautų asmenų skaičius</t>
  </si>
  <si>
    <t>440,00</t>
  </si>
  <si>
    <t>3.1.2.1.012</t>
  </si>
  <si>
    <t>Kauno biudžetinių įstaigų apskaita</t>
  </si>
  <si>
    <t>Centrinis apskaitos skyrius</t>
  </si>
  <si>
    <t>Paslaugų gavėjų mokėjimų automatizavimas (robotizavimas) nuo visų paslaugų gavėjų mokėjimų</t>
  </si>
  <si>
    <t>Suderintų dokumentų skaičius</t>
  </si>
  <si>
    <t>3.1.2.1.013</t>
  </si>
  <si>
    <t>Valstybės garantijoms nuomininkams, gyvenantiems savininkams grąžintinuose gyvenamuosiuose namuose, jų dalyse, butuose, vykdyti (valstybinė funkcija)</t>
  </si>
  <si>
    <t>Gautų lėšų ir įvykdytų valstybės garantijų santykis</t>
  </si>
  <si>
    <t>3.1.2.1.014</t>
  </si>
  <si>
    <t>Šeimos gerovės stiprinimas</t>
  </si>
  <si>
    <t>Gavusių, kūdikio kraitelį, šeimų skaičius</t>
  </si>
  <si>
    <t>2 100,00</t>
  </si>
  <si>
    <t>2 125,00</t>
  </si>
  <si>
    <t>2 075,00</t>
  </si>
  <si>
    <t>3.1.2.1.015</t>
  </si>
  <si>
    <t>Kauno miesto savivaldybės narystės įsipareigojimų vykdymas vietos veiklos grupėse ir kitose organizacijose</t>
  </si>
  <si>
    <t>Organizacijos, kurių veiklose dalyvaujama, skaičius</t>
  </si>
  <si>
    <t>3.1.2.1.016</t>
  </si>
  <si>
    <t>Beglobių gyvūnų gaudymas, priežiūra, ženklinimas, registravimas bei gyvūnų augintinių infrastruktūros plėtra ir priežiūra</t>
  </si>
  <si>
    <t>Aplinkos apsaugos skyrius</t>
  </si>
  <si>
    <t>Miesto viešosiose erdvėse sugautų bešeimininkių gyvūnų skaičius</t>
  </si>
  <si>
    <t>400,00</t>
  </si>
  <si>
    <t>3.1.2.1.017</t>
  </si>
  <si>
    <t>Administracinės naštos mažinimas tobulinant klientų aptarnavimo procesus Kauno miesto savivaldybės administracijoje</t>
  </si>
  <si>
    <t>Asmenų, besikreipiančių per žinių asistentą, skaičius</t>
  </si>
  <si>
    <t>700,00</t>
  </si>
  <si>
    <t>750,00</t>
  </si>
  <si>
    <t>3.1.2.2</t>
  </si>
  <si>
    <t>Siekti lyderystės kuriant ir tobulinant Savivaldybės teikiamas paslaugas</t>
  </si>
  <si>
    <t>3.1.2.2.001</t>
  </si>
  <si>
    <t>Administracinės naštos mažinimas įgyvendinant projektą „Paslaugų teikimo ir asmenų aptarnavimo kokybės gerinimas Kauno miesto savivaldybėje“</t>
  </si>
  <si>
    <t>2.</t>
  </si>
  <si>
    <t>Viešojo valdymo institucijos, pagal veiksmų programą ESF lėšomis įgyvendinusios paslaugų ir (ar) aptarnavimo kokybei gerinti skirtas priemones</t>
  </si>
  <si>
    <t>3.1.2.2.002</t>
  </si>
  <si>
    <t>Juridinių asmenų, kurių steigėja, dalininkė ar savininkė yra Savivaldybė, veiklos optimizavimas, valdymo ir veiklos efektyvinimas</t>
  </si>
  <si>
    <t>Pertvarkytų, reorganizuotų, likviduotų juridinių asmenų, kurių steigėja, dalininkė ar savininkė yra Savivaldybė, skaičius</t>
  </si>
  <si>
    <t>3.1.2.2.003</t>
  </si>
  <si>
    <t>Juridinių asmenų, kurių steigėja, dalininkė ar savininkė yra Savivaldybė, inovatyvių stebėsenos sistemų kūrimas</t>
  </si>
  <si>
    <t>Juridinių asmenų, kurių finansiniai duomenys peržiūrimi naudojant inovatyvią stebėsenos sistemą, skaičius</t>
  </si>
  <si>
    <t>172,00</t>
  </si>
  <si>
    <t>3.1.2.2.004</t>
  </si>
  <si>
    <t>Bendro Kauno miesto savivaldybės valdomų įmonių ir seniūnijų klientų aptarnavimo centro „Mano Kaunas“ kūrimas ir vystymas</t>
  </si>
  <si>
    <t>Bendro skolų valdymo paslaugų centro steigimas</t>
  </si>
  <si>
    <t>Elektroninės vieningos savitarnos sistemos plėtros, įtraukiant juridinių asmenų specifinių paslaugų aptarnavimą, koordinavimas</t>
  </si>
  <si>
    <t>Savivaldybės valdomų įmonių darbuotojų, vykdančių optimizuotas bendrąsias veiklas UAB Kauno miesto paslaugų centre, skaičiaus sumažėjimas</t>
  </si>
  <si>
    <t>3.1.2.2.005</t>
  </si>
  <si>
    <t>Kauno miesto savivaldybės kontroliuojamų juridinių asmenų bendrų paslaugų teikimo centrų kūrimas</t>
  </si>
  <si>
    <t>UAB Kauno miesto paslaugų centro optimizuotų bendrųjų veiklų skaičius</t>
  </si>
  <si>
    <t>UAB Kauno miesto paslaugų centro optimizuotose bendrosiose veiklose įdiegtų efektyvinimo priemonių/ IT įrankių skaičius</t>
  </si>
  <si>
    <t>3.1.2.2.006</t>
  </si>
  <si>
    <t>Kauno miesto savivaldybės valdomų įmonių veiklos optimizavimas, valdymo ir veiklos efektyvinimas</t>
  </si>
  <si>
    <t>Savivaldybės  valdomų įmonių, kurių pasiektų veiklos tikslų atitiktį joms nustatytiems veiklos tikslams koordinuoja Savivaldybė, skaičius</t>
  </si>
  <si>
    <t>UAB „Kauno vandenys“ EBITDA marža</t>
  </si>
  <si>
    <t>36,50</t>
  </si>
  <si>
    <t>36,90</t>
  </si>
  <si>
    <t>37,40</t>
  </si>
  <si>
    <t>UAB „Laboratorinių bandymų centras“ EBITDA marža</t>
  </si>
  <si>
    <t>30,70</t>
  </si>
  <si>
    <t>31,10</t>
  </si>
  <si>
    <t>31,50</t>
  </si>
  <si>
    <t>UAB „Stoties turgus“ EBITDA marža</t>
  </si>
  <si>
    <t>10,90</t>
  </si>
  <si>
    <t>SĮ „Kapinių priežiūra“ veiklos sąnaudų lygis</t>
  </si>
  <si>
    <t>29,9</t>
  </si>
  <si>
    <t>29,4</t>
  </si>
  <si>
    <t>28,7</t>
  </si>
  <si>
    <t>SĮ „Kauno planas“ veiklos sąnaudų lygis</t>
  </si>
  <si>
    <t>18,7</t>
  </si>
  <si>
    <t>18,4</t>
  </si>
  <si>
    <t>17,9</t>
  </si>
  <si>
    <t>UAB „Kauno butų ūkis“ EBITDA marža</t>
  </si>
  <si>
    <t>9,90</t>
  </si>
  <si>
    <t>10,20</t>
  </si>
  <si>
    <t>AB „Kauno energija“ EBITDA marža</t>
  </si>
  <si>
    <t>17,80</t>
  </si>
  <si>
    <t>17,90</t>
  </si>
  <si>
    <t>18,20</t>
  </si>
  <si>
    <t>UAB „Centrinis knygynas“ EBITDA marža</t>
  </si>
  <si>
    <t>76,00</t>
  </si>
  <si>
    <t>UAB „Kauno autobusai“ EBITDA marža</t>
  </si>
  <si>
    <t>15,50</t>
  </si>
  <si>
    <t>15,60</t>
  </si>
  <si>
    <t>15,90</t>
  </si>
  <si>
    <t>UAB „Kauno gatvių apšvietimas“ EBITDA marža</t>
  </si>
  <si>
    <t>21,70</t>
  </si>
  <si>
    <t>UAB „Kauno švara“ EBITDA marža</t>
  </si>
  <si>
    <t>22,10</t>
  </si>
  <si>
    <t>22,40</t>
  </si>
  <si>
    <t>22,70</t>
  </si>
  <si>
    <t>3.1.3</t>
  </si>
  <si>
    <t>Didinti įtraukų bendradarbiavimą su suinteresuotomis šalimis, tapti lydere regione</t>
  </si>
  <si>
    <t>3.1.3.1</t>
  </si>
  <si>
    <t>Įgyvendinti „Atviro Kauno“ viziją, užtikrinant skaidrų visuomenės įtraukimą į sprendimų priėmimo procesą</t>
  </si>
  <si>
    <t>3.1.3.1.001</t>
  </si>
  <si>
    <t>Kauno sporto halės išvystymas į daugiafunkcį centrą visuomenės poreikiams</t>
  </si>
  <si>
    <t>3.1.3.1.002</t>
  </si>
  <si>
    <t>Seniūnijų įtakos stiprinimas skatinant gyventojų bendruomeniškumą</t>
  </si>
  <si>
    <t>Organizuotų sueigų, susitikimų, susirinkimų skaičius Aleksoto seniūnijoje, skatinant gyventojų dalyvavimo vietos savivaldos procese</t>
  </si>
  <si>
    <t>Inicijuotų Aleksoto seniūnijos teritorijos priežiūros priemonių skaičius</t>
  </si>
  <si>
    <t>215,00</t>
  </si>
  <si>
    <t>Aleksoto seniūnijos atliktų statinių priežiūros priemonių dalis nuo suplanuotų priemonių skaičiaus</t>
  </si>
  <si>
    <t>91,00</t>
  </si>
  <si>
    <t>92,00</t>
  </si>
  <si>
    <t>Organizuotų sueigų, susitikimų, susirinkimų skaičius Centro seniūnijoje, skatinant gyventojų dalyvavimo vietos savivaldos procese</t>
  </si>
  <si>
    <t>Inicijuotų Centro seniūnijos teritorijos priežiūros priemonių skaičius</t>
  </si>
  <si>
    <t>Centro seniūnijos atliktų statinių priežiūros priemonių dalis nuo suplanuotų priemonių skaičiaus</t>
  </si>
  <si>
    <t>95,25</t>
  </si>
  <si>
    <t>Organizuotų sueigų, susitikimų, susirinkimų skaičius Dainavos seniūnijoje, skatinant gyventojų dalyvavimo vietos savivaldos procese</t>
  </si>
  <si>
    <t>Inicijuotų Dainavos seniūnijos teritorijos priežiūros priemonių skaičius</t>
  </si>
  <si>
    <t>450,00</t>
  </si>
  <si>
    <t>Dainavos seniūnijos atliktų statinių priežiūros priemonių dalis nuo suplanuotų priemonių skaičiaus</t>
  </si>
  <si>
    <t>94,25</t>
  </si>
  <si>
    <t>96,75</t>
  </si>
  <si>
    <t>Organizuotų sueigų, susitikimų, susirinkimų skaičius Eigulių seniūnijoje, skatinant gyventojų dalyvavimo vietos savivaldos procese</t>
  </si>
  <si>
    <t>Inicijuotų Eigulių seniūnijos teritorijos priežiūros priemonių skaičius</t>
  </si>
  <si>
    <t>155,00</t>
  </si>
  <si>
    <t>Eigulių seniūnijos atliktų statinių priežiūros priemonių dalis nuo suplanuotų priemonių skaičiaus</t>
  </si>
  <si>
    <t>Organizuotų sueigų, susitikimų, susirinkimų skaičius Gričiupio seniūnijoje, skatinant gyventojų dalyvavimo vietos savivaldos procese</t>
  </si>
  <si>
    <t>Inicijuotų Gričiupio seniūnijos teritorijos priežiūros priemonių skaičius</t>
  </si>
  <si>
    <t>32,00</t>
  </si>
  <si>
    <t>Gričiupio seniūnijos atliktų statinių priežiūros priemonių dalis nuo suplanuotų priemonių skaičiaus</t>
  </si>
  <si>
    <t>Organizuotų sueigų, susitikimų, susirinkimų skaičius Panemunės seniūnijoje, skatinant gyventojų dalyvavimą vietos savivaldos procese</t>
  </si>
  <si>
    <t>Inicijuotų Panemunės seniūnijos teritorijos priežiūros priemonių skaičius</t>
  </si>
  <si>
    <t>Panemunės seniūnijos atliktų statinių priežiūros priemonių dalis nuo suplanuotų priemonių skaičiaus</t>
  </si>
  <si>
    <t>Organizuotų sueigų, susitikimų, susirinkimų skaičius Petrašiūnų seniūnijoje, skatinant gyventojų dalyvavimą vietos savivaldos procese</t>
  </si>
  <si>
    <t>Inicijuotų Petrašiūnų seniūnijos teritorijos priežiūros priemonių skaičius</t>
  </si>
  <si>
    <t>142,00</t>
  </si>
  <si>
    <t>Petrašiūnų seniūnijos atliktų statinių priežiūros priemonių dalis nuo suplanuotų priemonių skaičiaus</t>
  </si>
  <si>
    <t>94,50</t>
  </si>
  <si>
    <t>99,00</t>
  </si>
  <si>
    <t>Organizuotų sueigų, susitikimų, susirinkimų skaičius Šančių seniūnijoje, skatinant gyventojų dalyvavimą vietos savivaldos procese</t>
  </si>
  <si>
    <t>Inicijuotų Šančių seniūnijos teritorijos priežiūros priemonių skaičius</t>
  </si>
  <si>
    <t>160,00</t>
  </si>
  <si>
    <t>Šančių seniūnijos atliktų statinių priežiūros priemonių dalis nuo suplanuotų priemonių skaičiaus</t>
  </si>
  <si>
    <t>Organizuotų sueigų, susitikimų, susirinkimų skaičius Šilainių seniūnijoje, skatinant gyventojų dalyvavimą vietos savivaldos procese</t>
  </si>
  <si>
    <t>Inicijuotų Šilainių seniūnijos teritorijos priežiūros priemonių skaičius</t>
  </si>
  <si>
    <t>350,00</t>
  </si>
  <si>
    <t>Šilainių seniūnijos atliktų statinių priežiūros priemonių dalis nuo suplanuotų priemonių skaičiaus</t>
  </si>
  <si>
    <t>97,75</t>
  </si>
  <si>
    <t>Organizuotų sueigų, susitikimų, susirinkimų skaičius Vilijampolės seniūnijoje, skatinant gyventojų dalyvavimą vietos savivaldos procese</t>
  </si>
  <si>
    <t>Inicijuotų Vilijampolės seniūnijos teritorijos priežiūros priemonių skaičius</t>
  </si>
  <si>
    <t>Vilijampolės seniūnijos atliktų statinių priežiūros priemonių dalis nuo suplanuotų priemonių skaičiaus</t>
  </si>
  <si>
    <t>Organizuotų sueigų, susitikimų, susirinkimų skaičius Žaliakalnio seniūnijoje, skatinant gyventojų dalyvavimą vietos savivaldos procese</t>
  </si>
  <si>
    <t>Inicijuotų Žaliakalnio seniūnijos teritorijos priežiūros priemonių skaičius</t>
  </si>
  <si>
    <t>204,00</t>
  </si>
  <si>
    <t>Žaliakalnio seniūnijos atliktų statinių priežiūros priemonių dalis nuo suplanuotų priemonių skaičiaus</t>
  </si>
  <si>
    <t>3.1.3.2</t>
  </si>
  <si>
    <t>Skatinti organizacijas teikti paslaugas miesto gyventojams</t>
  </si>
  <si>
    <t>3.1.3.2.001</t>
  </si>
  <si>
    <t>Nevyriausybinių organizacijų ir miesto bendruomenės įgalinimo iniciatyvų skatinimas</t>
  </si>
  <si>
    <t>Įgyvendintų projektų veiklų, kurioms seniūnijų išplėstinių seniūnaičių sueigų siūlymu skirtas valstybės biudžeto lėšų finansavimas, dalis nuo visų planuotų veiklų</t>
  </si>
  <si>
    <t>Administruotų paraiškų dalis nuo visų gautų paraiškų</t>
  </si>
  <si>
    <t>Socialinių paslaugų priežiūros departamentui prie Socialinės apsaugos ir darbo ministerijos pateiktų ataskaitų skaičius</t>
  </si>
  <si>
    <t>3.1.3.3</t>
  </si>
  <si>
    <t>Efektyvinti miesto komunikaciją ir rinkodarą</t>
  </si>
  <si>
    <t>3.1.3.3.001</t>
  </si>
  <si>
    <t>Kauno miesto pristatymas ir reklamavimas Lietuvoje</t>
  </si>
  <si>
    <t>Ryšių su visuomene skyrius</t>
  </si>
  <si>
    <t>Gyventojų gavusių informaciją apie savivaldybės veiklą  per  www.kaunas.lt pokytis lyginant su praeitais metais</t>
  </si>
  <si>
    <t>Facebook paskyros „Kauno miesto savivaldybė“ sekėjų skaičius</t>
  </si>
  <si>
    <t>84 771,00</t>
  </si>
  <si>
    <t>85 571,00</t>
  </si>
  <si>
    <t>86 071,00</t>
  </si>
  <si>
    <t>Kaunas.lt naudotojų skaičius</t>
  </si>
  <si>
    <t>476 000,00</t>
  </si>
  <si>
    <t>Skyriaus inicijuotų komunikacijos projektų veiklų įgyvendinta dalis nuo visų veiklų</t>
  </si>
  <si>
    <t>Savivaldybės administracijos padalinių komunikacijos įgyvendintų užsakymų skaičius</t>
  </si>
  <si>
    <t>3.1.3.4</t>
  </si>
  <si>
    <t>Siekti Kauno lyderystės regione</t>
  </si>
  <si>
    <t>3.1.3.4.001</t>
  </si>
  <si>
    <t>Kauno miesto savivaldybės dalyvavimas sveikatos srities tarptautinėse organizacijose</t>
  </si>
  <si>
    <t>Sveikatos apsaugos skyrius</t>
  </si>
  <si>
    <t>Tarptautinių renginių, kuriuose buvo pristatyta Kauno miesto patirtis visuomenės sveikatos srityje, skaičius</t>
  </si>
  <si>
    <t>3.1.3.4.002</t>
  </si>
  <si>
    <t>Bendradarbiavimo su Lietuvos ir užsienio valstybių institucijomis skatinimas</t>
  </si>
  <si>
    <t>Užsienio ryšių skyrius</t>
  </si>
  <si>
    <t>Susitikimų ir bendrų renginių su užsienio svečiais skaičius</t>
  </si>
  <si>
    <t>Renginiuose ir susitikimuose dalyvavusių užsienio svečių skaičius</t>
  </si>
  <si>
    <t>600,00</t>
  </si>
  <si>
    <t>Reprezentacinių renginių/susitikimų skaičius (be užsieniečių)</t>
  </si>
  <si>
    <t>3.1.3.4.003</t>
  </si>
  <si>
    <t>Bendradarbiavimo su esamais ir potencialiais miestais partneriais vystymas, skatinant dalijimąsi gerąja praktika ir abipusį pažinimą</t>
  </si>
  <si>
    <t>Bendrų projektų įgyvendinime užsienyje dalyvavusių Kauno miesto atstovų skaičius</t>
  </si>
  <si>
    <t>Bendrų projektų įgyvendinime dalyvavusių užsienio miestų atstovų skaičius</t>
  </si>
  <si>
    <t>78,00</t>
  </si>
  <si>
    <t>Kultūros srities darbuotojų, menininkų, mokslininkų, verslininkų  mainų ir bendrų projektų skaičius</t>
  </si>
  <si>
    <t>3.1.3.4.004</t>
  </si>
  <si>
    <t>Kauno miesto atstovavimas Pasaulio sveikatos organizacijos Europos sveikų miestų tinkle</t>
  </si>
  <si>
    <t>Įgyvendintų veiklų dalis nuo finansuotų veiklų</t>
  </si>
  <si>
    <t>3.1.3.5</t>
  </si>
  <si>
    <t>Užtikrinti sąlygas saugiai gyventi ir dirbti mieste</t>
  </si>
  <si>
    <t>3.1.3.5.001</t>
  </si>
  <si>
    <t>Gyventojų saugumo didinimas užtikrinant vaizdo stebėjimo ir pažeidimų fiksavimo priemonių plėtrą</t>
  </si>
  <si>
    <t>Veikiančių stebėjimo kamerų dalis nuo visų kamerų</t>
  </si>
  <si>
    <t>93,00</t>
  </si>
  <si>
    <t>Užfiksuotų administracinių nusižengimų, padarytų transporto priemonėmis,  skaičius</t>
  </si>
  <si>
    <t>4 550,00</t>
  </si>
  <si>
    <t>Įgyvendintų prevencinių priemonių skaičius</t>
  </si>
  <si>
    <t>21,00</t>
  </si>
  <si>
    <t>Dėl transporto priemonių savininkų (valdytojų) priimtų procesinių sprendimų skaičius</t>
  </si>
  <si>
    <t>9 000,00</t>
  </si>
  <si>
    <t>9 100,00</t>
  </si>
  <si>
    <t>9 150,00</t>
  </si>
  <si>
    <t>Dėl viešosios tvarkos pažeidimų priimtų procesinių sprendimų skaičius</t>
  </si>
  <si>
    <t>760,00</t>
  </si>
  <si>
    <t>770,00</t>
  </si>
  <si>
    <t>3.1.3.5.002</t>
  </si>
  <si>
    <t>Civilinės saugos reikalams ir paslaugoms administruoti</t>
  </si>
  <si>
    <t>Suvaldytų ekstremalių situacijų dalis nuo visų ekstremalių situacijų</t>
  </si>
  <si>
    <t>Perspėjimo sirenomis sistemos PSS patikrinimų skaičius</t>
  </si>
  <si>
    <t>Gyventojų perspėjimo ir informavimo, naudojant viešųjų judriojo telefono ryšio paslaugų teikėjų tinklų infrastruktūrą, sistemos (GPIS) patikrinimų skaičius</t>
  </si>
  <si>
    <t>48,00</t>
  </si>
  <si>
    <t>Surengtų Savivaldybės lygio stalo/funkcinių pratybų dalis nuo visų suplanuotų pratybų</t>
  </si>
  <si>
    <t>Savivaldybės ekstremaliųjų situacijų valdymo plano peržiūrų ar koregavimų skaičius</t>
  </si>
  <si>
    <t>Įgyvendintų ekstremaliųjų situacijų prevencijos priemonių dalis nuo visų suplanuotų priemonių</t>
  </si>
  <si>
    <t>Surengtų ESK posėdžių skaičius</t>
  </si>
  <si>
    <t>Suteiktos konsultacijos ir rekomendacijos ūkio subjektams ir įstaigoms</t>
  </si>
  <si>
    <t>24,00</t>
  </si>
  <si>
    <t>Suvaldytų ekstremaliųjų įvykių Kauno mieste dalis nuo visų ekstremaliųjų įvykių Kaune</t>
  </si>
  <si>
    <t>3.1.3.5.003</t>
  </si>
  <si>
    <t>Mobilizacijai administruoti Savivaldybėje</t>
  </si>
  <si>
    <t>Savivaldybės civilinio mobilizacinio personalo rezervo sąrašo peržiūrų ar koregavimų skaičius</t>
  </si>
  <si>
    <t>Savivaldybės mobilizacinio plano peržiūrų ar koregavimų skaičius</t>
  </si>
  <si>
    <t>3.1.3.5.004</t>
  </si>
  <si>
    <t>Ekstremaliųjų situacijų ir (arba) įvykių prevencija</t>
  </si>
  <si>
    <t>Ekstremaliųjų situacijų ir (arba) įvykių prevencijos priemonių skaičius</t>
  </si>
  <si>
    <t>Ekologinių nelaimių ir transporto avarijų metu rastų teršalų surinkimo ir utilizavimo darbų dalis nuo visų suplanuotų darbų</t>
  </si>
  <si>
    <t>3.1.3.5.005</t>
  </si>
  <si>
    <t>Priverstinis transporto priemonių nuvežimas bei neeksploatuojamų transporto priemonių pašalinimo iš bendro naudojimo vietų prevencija</t>
  </si>
  <si>
    <t>Pašalintų transporto priemonių  dalis nuo visų užfiksuotų neeksploatuojamų transporto priemonių</t>
  </si>
  <si>
    <t>76,25</t>
  </si>
  <si>
    <t>77,50</t>
  </si>
  <si>
    <t>Užfiksuotų neeksploatuojamų transporto priemonių skaičius</t>
  </si>
  <si>
    <t>Pašalintų neeksploatuojamų transporto priemonių skaičius</t>
  </si>
  <si>
    <t>250,00</t>
  </si>
  <si>
    <t>Priverstinai nuvežtų transporto priemonių stovinčių neleistinose vietose ir trukdančių saugiam kitų transporto priemonių ar pėsčiųjų eismui skaičius</t>
  </si>
  <si>
    <t>360,00</t>
  </si>
  <si>
    <t>3.1.3.5.006</t>
  </si>
  <si>
    <t>Avarijų Kauno mieste likvidavimo užtikrinimas (Avarinės tarnybos ir dispečerinės veikla)</t>
  </si>
  <si>
    <t>Lokalizuotų avarinių situacijų mieste dalis nuo visų užregistruotų pranešimų</t>
  </si>
  <si>
    <t>Likviduotų avarijų skaičius</t>
  </si>
  <si>
    <t>640,00</t>
  </si>
  <si>
    <t>3.1.3.5.007</t>
  </si>
  <si>
    <t>Ekstremaliųjų situacijų ir (arba) įvykių likvidavimas, jų padarinių šalinimas ir padarytų nuostolių iš dalies apmokėjimas</t>
  </si>
  <si>
    <t>Terminas, per kurį likviduota ES ar priimtos dalinės priemonės ES suvaldymui</t>
  </si>
  <si>
    <t>D.</t>
  </si>
  <si>
    <t>3.1.3.5.008</t>
  </si>
  <si>
    <t>Pagalbos priemonių nukentėjusiems subjektams užtikrinimas</t>
  </si>
  <si>
    <t>Įgyvendintų veiklų dalis nuo būtinų vykdyti veiklų</t>
  </si>
  <si>
    <t>3.2</t>
  </si>
  <si>
    <t>Saugus visų eismo dalyvių susisiekimas, didinant tvarių kelionių dalį ir mažinant transporto keliamą taršą</t>
  </si>
  <si>
    <t>3.2.1</t>
  </si>
  <si>
    <t>Vystyti ir palaikyti saugią judumo infrastruktūrą Kauno mieste</t>
  </si>
  <si>
    <t>3.2.1.1</t>
  </si>
  <si>
    <t>Palaikyti aukštą judumo infrastruktūros būklę</t>
  </si>
  <si>
    <t>3.2.1.1.001</t>
  </si>
  <si>
    <t>Susisiekimo komunikacijų (gatvių) kadastro duomenų nustatymas, tikslinimas ir teisinė registracija</t>
  </si>
  <si>
    <t>NTR įregistruotų Savivaldybės nuosavybės teise valdomų gatvių skaičius</t>
  </si>
  <si>
    <t>1 337,00</t>
  </si>
  <si>
    <t>1 365,00</t>
  </si>
  <si>
    <t>1 380,00</t>
  </si>
  <si>
    <t>Savivaldybės nuosavybėn iš valstybės perimtų susisiekimo komunikacijų (gatvių) skaičius</t>
  </si>
  <si>
    <t>NTR įregistruotų Savivaldybės valdomų susisiekimo komunikacijų (gatvių) dalis nuo  visų galimų registruoti susisiekimo komunikacijų (gatvių)</t>
  </si>
  <si>
    <t>3.2.1.1.002</t>
  </si>
  <si>
    <t>Kauno miesto gatvių, aikščių priežiūra ir einamasis remontas</t>
  </si>
  <si>
    <t>Suremontuotų gatvių plotas</t>
  </si>
  <si>
    <t>Kv. m</t>
  </si>
  <si>
    <t>138 000,00</t>
  </si>
  <si>
    <t>Suremontuotų gatvių ilgis</t>
  </si>
  <si>
    <t>M</t>
  </si>
  <si>
    <t>24 000,00</t>
  </si>
  <si>
    <t>1.3.5.</t>
  </si>
  <si>
    <t>Prižiūrimų gatvių su žvyro danga plotas</t>
  </si>
  <si>
    <t>2 050 000,00</t>
  </si>
  <si>
    <t>Suremontuotų pėsčiųjų takų plotas</t>
  </si>
  <si>
    <t>56 150,00</t>
  </si>
  <si>
    <t>Suremontuotų dviračių takų ilgis</t>
  </si>
  <si>
    <t>3.2.1.1.003</t>
  </si>
  <si>
    <t>Tiltų ir viadukų rekonstravimas,  remontas ir priežiūra</t>
  </si>
  <si>
    <t>Atnaujintų tiltų ir viadukų dalis nuo bendro tiltų ir viadukų ploto</t>
  </si>
  <si>
    <t>29,00</t>
  </si>
  <si>
    <t>Suremontuotų tiltų ir viadukų skaičius</t>
  </si>
  <si>
    <t>3.2.1.1.004</t>
  </si>
  <si>
    <t>Aleksoto gatvių (Kalvarijos g., Vyčio Kryžiaus g., K. Sprangausko g., J. Petruičio g., J. Čapliko g., J. Pabrėžos g., Vilties g.) rekonstravimas</t>
  </si>
  <si>
    <t>3.2.1.1.005</t>
  </si>
  <si>
    <t>Įvažiuojamųjų kelių į gyvenamuosius kvartalus ir kiemus remontas</t>
  </si>
  <si>
    <t>Suremontuotų įvažiuojamųjų kelių į gyvenamuosius kvartalus ir kiemus plotas</t>
  </si>
  <si>
    <t>25 000,00</t>
  </si>
  <si>
    <t>40 000,00</t>
  </si>
  <si>
    <t>3.2.1.2</t>
  </si>
  <si>
    <t>Vystyti judumo infrastruktūrą atsižvelgiant į eismo dalyvių poreikius</t>
  </si>
  <si>
    <t>3.2.1.2.001</t>
  </si>
  <si>
    <t>Ateities plento tęsinio nuo Palemono g. iki T. Masiulio g. tiesyba</t>
  </si>
  <si>
    <t>I-os atkarpos atliktų veiklų dalis nuo visų projekto veiklų</t>
  </si>
  <si>
    <t>II-os atkarpos atliktų veiklų dalis nuo visų projekto veiklų</t>
  </si>
  <si>
    <t>75,00</t>
  </si>
  <si>
    <t>1.2.</t>
  </si>
  <si>
    <t>III-os atkarpos atliktų veiklų dalis nuo visų projekto veiklų</t>
  </si>
  <si>
    <t>3.2.1.2.002</t>
  </si>
  <si>
    <t>Šeštokų 1-osios g. ir Alyvų 1-osios g.  tiesyba</t>
  </si>
  <si>
    <t>3.2.1.2.003</t>
  </si>
  <si>
    <t>Kauno miesto gatvių, aikščių projektavimas, kapitalinis remontas ir rekonstrukcija</t>
  </si>
  <si>
    <t>Rekonstruotų ir kapitališkai suremontuotų gatvių ir aikščių plotas</t>
  </si>
  <si>
    <t>240 000,00</t>
  </si>
  <si>
    <t>330 000,00</t>
  </si>
  <si>
    <t>300 000,00</t>
  </si>
  <si>
    <t>Įrengtų pėsčiųjų takų plotas</t>
  </si>
  <si>
    <t>30 000,00</t>
  </si>
  <si>
    <t>28 000,00</t>
  </si>
  <si>
    <t>23 000,00</t>
  </si>
  <si>
    <t>Įrengtų dviračių takų ilgis</t>
  </si>
  <si>
    <t>4 500,00</t>
  </si>
  <si>
    <t>5 000,00</t>
  </si>
  <si>
    <t>3.2.1.2.004</t>
  </si>
  <si>
    <t>Kėdainių tilto per Nemuno upę, Kaune, statyba</t>
  </si>
  <si>
    <t>3.2.1.2.005</t>
  </si>
  <si>
    <t>Skirtingų lygių sankryžos ties magistralinio kelio A1 Vilnius–Kaunas–Klaipėda 98,100 km Kauno mieste (ties Ašigalio g.) statyba</t>
  </si>
  <si>
    <t>Įrengtos infrastruktūros plotas</t>
  </si>
  <si>
    <t>50 000,00</t>
  </si>
  <si>
    <t>16 000,00</t>
  </si>
  <si>
    <t>3.2.1.2.006</t>
  </si>
  <si>
    <t>Rotušės aikštės rekonstravimas</t>
  </si>
  <si>
    <t>Rekonstruotos aikštės plotas</t>
  </si>
  <si>
    <t>15 000,00</t>
  </si>
  <si>
    <t>20 000,00</t>
  </si>
  <si>
    <t>35,00</t>
  </si>
  <si>
    <t>45,00</t>
  </si>
  <si>
    <t>3.2.1.3</t>
  </si>
  <si>
    <t>Sudaryti visapusiškai saugias judėjimo sąlygas visiems eismo dalyviams</t>
  </si>
  <si>
    <t>3.2.1.3.001</t>
  </si>
  <si>
    <t>Pėsčiųjų saugumo didinimas įdiegiant naujausių technologijų apšvietimą pėsčiųjų perėjose</t>
  </si>
  <si>
    <t>Transporto ir eismo organizavimo skyrius</t>
  </si>
  <si>
    <t>Naujai įrengtų ir naujausiomis technologijomis apšviestų perėjų skaičius</t>
  </si>
  <si>
    <t>3.2.1.3.002</t>
  </si>
  <si>
    <t>Naujai įrengtų ir rekonstruotų šviesoforų  įrengimas bei priežiūra Kauno miesto sankryžose ir pėsčiųjų perėjose</t>
  </si>
  <si>
    <t>Naujai įrengtų ir rekonstruotų šviesoforų skaičius</t>
  </si>
  <si>
    <t>3.2.1.3.003</t>
  </si>
  <si>
    <t>Eismo saugumo ir eismo organizavimo planavimas</t>
  </si>
  <si>
    <t>Eismo saugumo ir eismo organizavimo planavimo dokumentų skaičius</t>
  </si>
  <si>
    <t>3.2.1.3.004</t>
  </si>
  <si>
    <t>Visuomenės ugdymas  saugaus eismo klausimais</t>
  </si>
  <si>
    <t>Įgyvendintų  priemonių skaičius</t>
  </si>
  <si>
    <t>3.2.1.3.005</t>
  </si>
  <si>
    <t>Saugaus eismo gerinimas ženklinant gatvių važiuojamąją dalį</t>
  </si>
  <si>
    <t>Naujai bei pakartotinai paženklintų asfaltuotų gatvių dalis nuo visų asfaltuotų gatvių</t>
  </si>
  <si>
    <t>Paženklintas gatvių plotas</t>
  </si>
  <si>
    <t>36 000,00</t>
  </si>
  <si>
    <t>39 000,00</t>
  </si>
  <si>
    <t>41 000,00</t>
  </si>
  <si>
    <t>3.2.1.4</t>
  </si>
  <si>
    <t>Pritaikyti visą susisiekimo infrastruktūrą specialius poreikius turintiems žmonėms</t>
  </si>
  <si>
    <t>3.2.1.5</t>
  </si>
  <si>
    <t>Prižiūrėti ir plėsti dviračių, pėsčiųjų ir kitų mikromobilumo priemonių infrastruktūrą</t>
  </si>
  <si>
    <t>3.2.1.5.001</t>
  </si>
  <si>
    <t>Požeminių perėjų ir laiptų rekonstravimas, remontas ir priežiūra</t>
  </si>
  <si>
    <t>Perėjos priežiūros sutarties vykdymo patikrinimų skaičius</t>
  </si>
  <si>
    <t>Suremontuotų požeminių perėjų ir laiptų dalis nuo visų perėjų ir laiptų</t>
  </si>
  <si>
    <t>3.2.1.5.002</t>
  </si>
  <si>
    <t>Pėsčiųjų tiltų per Nemuno upę nuo Aleksoto iki salos ir nuo salos iki Karaliaus Mindaugo pr., Kaune, statyba</t>
  </si>
  <si>
    <t>3.2.1.5.003</t>
  </si>
  <si>
    <t>Inžinerinio statinio-pėsčiųjų tilto per Neries upę, nuo Brastos g.32, Kaune, iki teritorijos šalia žemės sklypo Jonavos g. 1A, Kaune, statyba</t>
  </si>
  <si>
    <t>3.2.1.6</t>
  </si>
  <si>
    <t>Užtikrinti kokybišką regioninį pasiekiamumą visais keliavimo būdais</t>
  </si>
  <si>
    <t>3.2.2</t>
  </si>
  <si>
    <t>Didinti darnių kelionių dalį Kauno mieste</t>
  </si>
  <si>
    <t>3.2.2.1</t>
  </si>
  <si>
    <t>Skatinti rinktis mažiau taršius keliavimo būdus</t>
  </si>
  <si>
    <t>3.2.2.2</t>
  </si>
  <si>
    <t>Gerinti viešojo transporto pasiekiamumą ir kokybę</t>
  </si>
  <si>
    <t>3.2.2.2.001</t>
  </si>
  <si>
    <t>Projekto „Viešojo transporto infrastruktūros plėtra Kauno mieste“ įgyvendinimas</t>
  </si>
  <si>
    <t>Įdiegtos intelektinės transporto sistemos</t>
  </si>
  <si>
    <t>Įgyvendintos darnaus judumo priemonės</t>
  </si>
  <si>
    <t>3.2.2.2.002</t>
  </si>
  <si>
    <t>Kompensacijoms už keleivių, turinčių teisę į lengvatas, vežimą vežėjams mokėti</t>
  </si>
  <si>
    <t>Išmokėtų kompensacijų dydis</t>
  </si>
  <si>
    <t>14 000 000,00</t>
  </si>
  <si>
    <t>14 500 000,00</t>
  </si>
  <si>
    <t>3.2.2.2.003</t>
  </si>
  <si>
    <t>Vežėjų nuostoliams, patirtiems dėl keleivinio transporto paslaugų teikimo visuomenei, kompensuoti</t>
  </si>
  <si>
    <t>Viešojo transporto ridos pokytis</t>
  </si>
  <si>
    <t>Vežėjų nuostolių, patirtų dėl keleivinio transporto paslaugų teikimo visuomenei, lėšų kompensavimo dydis</t>
  </si>
  <si>
    <t>16 000 000,00</t>
  </si>
  <si>
    <t>18 000 000,00</t>
  </si>
  <si>
    <t>18 500 000,00</t>
  </si>
  <si>
    <t>3.2.2.2.004</t>
  </si>
  <si>
    <t>Viešojo transporto infrastruktūros plėtra</t>
  </si>
  <si>
    <t>Naujai įrengtų ir sutvarkytų objektų skaičius</t>
  </si>
  <si>
    <t>3.2.2.3</t>
  </si>
  <si>
    <t>Didinti Kauno regiono viešojo transporto sistemų suderinamumą</t>
  </si>
  <si>
    <t>3.2.2.4</t>
  </si>
  <si>
    <t>Riboti į Kauno miestą atvykstančio motorinio transporto srautus</t>
  </si>
  <si>
    <t>3.2.3</t>
  </si>
  <si>
    <t>Taikyti inovacijomis paremtus transporto sprendimus</t>
  </si>
  <si>
    <t>3.2.3.1</t>
  </si>
  <si>
    <t>Vystyti mažų emisijų zonas ir elektromobilių infrastruktūrą</t>
  </si>
  <si>
    <t>3.2.3.1.001</t>
  </si>
  <si>
    <t>Elektromobilių įkrovimo prieigų infrastruktūros sukūrimas ir palaikymas</t>
  </si>
  <si>
    <t>Viešai prieinamų įkrovos stotelių skaičius</t>
  </si>
  <si>
    <t>3.2.3.2</t>
  </si>
  <si>
    <t>Diegti technologinius sprendimus efektyviam judumui valdyti</t>
  </si>
  <si>
    <t>3.2.3.2.001</t>
  </si>
  <si>
    <t>Stacionarių prevencinės greičio matavimo ir raudonos šviesos pažeidimo sistemų  sankryžoje diegimas ir eksploatavimas</t>
  </si>
  <si>
    <t>Stacionarių greičio matavimo įrenginių skaičius</t>
  </si>
  <si>
    <t>Įrenginių darbo dienų be gedimų skaičius</t>
  </si>
  <si>
    <t>340,00</t>
  </si>
  <si>
    <t>3.2.3.2.002</t>
  </si>
  <si>
    <t>Eismo saugumo užtikrinimas ir priežiūra, įrengiant stulpelius, apsauginius atitvarus, kitas inžinerines priemones ir prižiūrint eismo įrenginius ( išskyrus šviesoforus )</t>
  </si>
  <si>
    <t>Įrengtų ir atnaujintų kelio ženklų skaičius Kauno mieste</t>
  </si>
  <si>
    <t>Gatvių ruožų, kuriose įrengtos eismo saugumo priemonės ilgis</t>
  </si>
  <si>
    <t>900,00</t>
  </si>
  <si>
    <t>500,00</t>
  </si>
  <si>
    <t>3.2.3.2.003</t>
  </si>
  <si>
    <t>Saugaus eismo užtikrinimas prižiūrint ir eksploatuojant šviesoforus</t>
  </si>
  <si>
    <t>Prižiūrimų ir eksploatuojamų įrenginių kiekis</t>
  </si>
  <si>
    <t>156,00</t>
  </si>
  <si>
    <t>166,00</t>
  </si>
  <si>
    <t>176,00</t>
  </si>
  <si>
    <t>3.2.3.2.004</t>
  </si>
  <si>
    <t>Projekto „Intelektinių transporto sistemų diegimas Kauno mieste“ įgyvendinimas</t>
  </si>
  <si>
    <t>3.2.3.2.005</t>
  </si>
  <si>
    <t>Intelektualių informacinių sistemų plėtra ir diegimas viešojo transporto, motorinio transporto srautų valdymo ir automobilių statymo srityse</t>
  </si>
  <si>
    <t>Įdiegtų, eksploatuojamų ir palaikomų sistemų skaičius</t>
  </si>
  <si>
    <t>3.2.3.3</t>
  </si>
  <si>
    <t>Įgyvendinti efektyvius transporto priemonių parkavimo sprendimus</t>
  </si>
  <si>
    <t>3.2.3.3.001</t>
  </si>
  <si>
    <t>Automobilių statymo Kauno mieste organizavimas</t>
  </si>
  <si>
    <t>Kontroliuojamų stovėjimo vietų skaičius</t>
  </si>
  <si>
    <t>7 000,00</t>
  </si>
  <si>
    <t>7 100,00</t>
  </si>
  <si>
    <t>7 200,00</t>
  </si>
  <si>
    <t>Automobilių stovėjimo valandų kiekis</t>
  </si>
  <si>
    <t>Val.</t>
  </si>
  <si>
    <t>12 000 000,00</t>
  </si>
  <si>
    <t>12 300 000,00</t>
  </si>
  <si>
    <t>12 600 000,00</t>
  </si>
  <si>
    <t>Kaštai vienam eurui surinkti</t>
  </si>
  <si>
    <t>0,30</t>
  </si>
  <si>
    <t>0,29</t>
  </si>
  <si>
    <t>3.2.3.3.002</t>
  </si>
  <si>
    <t>Daugiaaukštės automobilių stovėjimo aikštelės prie K. Donelaičio g. 65P, Kaune, statyba</t>
  </si>
  <si>
    <t>3.3</t>
  </si>
  <si>
    <t>Tvarus ir įtraukus teritorijų vystymas, orientuotas į kasdienius kiekvieno žmogaus poreikius ir kokybišką miesto aplinką</t>
  </si>
  <si>
    <t>3.3.1</t>
  </si>
  <si>
    <t>Vystyti aukštos kokybės, naujojo Europinio bauhauzo principus atitinkančias miesto teritorijas</t>
  </si>
  <si>
    <t>3.3.1.1</t>
  </si>
  <si>
    <t>Suvaldyti miesto drieką ir šalinti jos padarinius, kuriant bendras programas su aplinkinėmis savivaldybėmis</t>
  </si>
  <si>
    <t>3.3.1.2</t>
  </si>
  <si>
    <t>Sudaryti sąlygas augti gyventojų skaičiui paslaugomis ir infrastruktūra aprūpintose miesto teritorijose, atsižvelgiant į jų vietos identitetą ir nustatant bendras prioritetines miesto plėtros teritorijas</t>
  </si>
  <si>
    <t>3.3.1.2.001</t>
  </si>
  <si>
    <t>Miesto gatvių apšvietimo elektros tinklų eksploatavimas, atnaujinimas ir plėtra</t>
  </si>
  <si>
    <t>Energiją taupančių įrenginių dalis nuo visų įrenginių</t>
  </si>
  <si>
    <t>82,00</t>
  </si>
  <si>
    <t>Apšviestų gatvių dalis nuo visų gatvių</t>
  </si>
  <si>
    <t>Gedimų skaičius nuo bendro šviestuvų skaičiaus</t>
  </si>
  <si>
    <t>0,08</t>
  </si>
  <si>
    <t>0,07</t>
  </si>
  <si>
    <t>Įrengtų šviesos taškų skaičius</t>
  </si>
  <si>
    <t>800,00</t>
  </si>
  <si>
    <t>1 000,00</t>
  </si>
  <si>
    <t>Pakeistų susidėvėjusių kabelinių linijų ilgis</t>
  </si>
  <si>
    <t>7 500,00</t>
  </si>
  <si>
    <t>3.3.1.2.002</t>
  </si>
  <si>
    <t>Kompleksinių teritorijų planavimo dokumentų rengimas</t>
  </si>
  <si>
    <t>Miesto planavimo ir architektūros skyrius</t>
  </si>
  <si>
    <t>Parengtų kompleksinio planavimo dokumentų skaičius</t>
  </si>
  <si>
    <t>Parengta stebėsenos ataskaita</t>
  </si>
  <si>
    <t>Išduotų statybos leidimų skaičius</t>
  </si>
  <si>
    <t>Savivaldybės lėšomis pradėtų DP rengimo ir koregavimo procedūrų skaičius</t>
  </si>
  <si>
    <t>Savivaldybės lėšomis patvirtintų detaliųjų planų ir koregavimų skaičius</t>
  </si>
  <si>
    <t>3.3.1.2.003</t>
  </si>
  <si>
    <t>Detaliųjų ir jiems prilygintų planų rengimas</t>
  </si>
  <si>
    <t>Savivaldybės lėšomis finansuotų parengtų detaliųjų planų, pradėtų rengti iki 2014 m., skaičius</t>
  </si>
  <si>
    <t>3.3.1.2.004</t>
  </si>
  <si>
    <t>Kadastrinių matavimų atlikimas</t>
  </si>
  <si>
    <t>Savivaldybės lėšomis atliktų kadastrinių matavimų skaičius</t>
  </si>
  <si>
    <t>Išduotų pažymų apie naujai suformuotų NT kadastro objektų galimybę naudoti pagal paskirtį  skaičius</t>
  </si>
  <si>
    <t>120,00</t>
  </si>
  <si>
    <t>3.3.1.2.005</t>
  </si>
  <si>
    <t>Elektros energijos, sunaudotos miesto gatvėms apšviesti, išlaidų apmokėjimas</t>
  </si>
  <si>
    <t>Elektros energijos kiekis perskaičiuotas 1 šviestuvui</t>
  </si>
  <si>
    <t>KWh</t>
  </si>
  <si>
    <t>1 217,00</t>
  </si>
  <si>
    <t>1 180,00</t>
  </si>
  <si>
    <t>1 150,00</t>
  </si>
  <si>
    <t>3.3.1.2.006</t>
  </si>
  <si>
    <t>Kauno miesto gatvių apšvietimo modernizavimas</t>
  </si>
  <si>
    <t>Modernizuotų šviestuvų skaičius</t>
  </si>
  <si>
    <t>Sutaupytas vidutinis metinis galutinės energijos kiekis</t>
  </si>
  <si>
    <t>GWh</t>
  </si>
  <si>
    <t>3.3.1.2.007</t>
  </si>
  <si>
    <t>Žemės sklypų formavimas</t>
  </si>
  <si>
    <t>Suformuotų sklypų skaičius</t>
  </si>
  <si>
    <t>Savivaldybės lėšomis pradėtų žemės sklypų formavimo ir pertvarkymo projektų rengimo procedūrų skaičius</t>
  </si>
  <si>
    <t>Patvirtintų žemės sklypų formavimo ir pertvarkymo projektų, kurie parengti Savivaldybės lėšomis, skaičius</t>
  </si>
  <si>
    <t>Parengtų topografinių planų skaičius</t>
  </si>
  <si>
    <t>Žemės sklypų, kurių pakeista paskirtis ir (ar) naudojimo būdas, skaičius (mieste)</t>
  </si>
  <si>
    <t>3.3.1.3</t>
  </si>
  <si>
    <t>Užtikrinti tvarią, architektūros kokybės kriterijus ir pasaulines tendencijas atitinkančią architektūrą</t>
  </si>
  <si>
    <t>3.3.1.3.001</t>
  </si>
  <si>
    <t>Urbanistinių ir architektūrinių idėjų konkursų laimėtojų skatinimas</t>
  </si>
  <si>
    <t>Skirtų premijų  skaičius</t>
  </si>
  <si>
    <t>3.3.1.3.002</t>
  </si>
  <si>
    <t>Miesto urbanistinės ir architektūrinės kokybės gerinimas</t>
  </si>
  <si>
    <t>Suorganizuotų urbanistinių-architektūrinių konkursų skaičius</t>
  </si>
  <si>
    <t>Išduotų specialiųjų reikalavimų skaičius</t>
  </si>
  <si>
    <t>Paviešintų projektinių pasiūlymų dėl statinių projektų skaičius</t>
  </si>
  <si>
    <t>Įregistruotų, išregistruotų, pakeistų adresų skaičius Adresų registre</t>
  </si>
  <si>
    <t>3.3.1.4</t>
  </si>
  <si>
    <t>Pasiekti kompleksišką ir inovatyvią daugiabučių miegamųjų rajonų regeneraciją, skatinant jų daugiafunkciškumą</t>
  </si>
  <si>
    <t>3.3.1.4.001</t>
  </si>
  <si>
    <t>Daugiabučių gyvenamųjų namų teritorijų tvarkymas</t>
  </si>
  <si>
    <t>Sutvarkytų teritorijų plotas</t>
  </si>
  <si>
    <t>26 000,00</t>
  </si>
  <si>
    <t>Suformuotų sklypų kiekis nuo pateiktų prašymų</t>
  </si>
  <si>
    <t>3.3.1.5</t>
  </si>
  <si>
    <t>Užtikrinti įtraukų ir bendradarbiavimu grįstą gyvenamosios aplinkos teritorijų planavimo procesą</t>
  </si>
  <si>
    <t>3.3.1.6</t>
  </si>
  <si>
    <t>Sukurti kokybiškų ir įkvepiančių viešųjų erdvių tinklą, kurios skatintų bendruomeniškumą ir puoselėtų vietos identitetą</t>
  </si>
  <si>
    <t>3.3.1.6.001</t>
  </si>
  <si>
    <t>Laisvės alėjos rekonstravimas</t>
  </si>
  <si>
    <t>Suremontuotos Laisvės al. plotas</t>
  </si>
  <si>
    <t>48 000,00</t>
  </si>
  <si>
    <t>3.3.1.6.002</t>
  </si>
  <si>
    <t>Miesto sodo skvero su prieigomis kapitalinis remontas / rekonstravimas</t>
  </si>
  <si>
    <t>Atliktų veiklų skaičius</t>
  </si>
  <si>
    <t>3.3.1.6.003</t>
  </si>
  <si>
    <t>Kompleksiškas Ąžuolyno parke esančios infrastuktūros sutvarkymas, pritaikant ją visuomenės poreikiams</t>
  </si>
  <si>
    <t>3.3.1.6.004</t>
  </si>
  <si>
    <t>Miesto tvarkymas, valymas ir priežiūra žiemos metu</t>
  </si>
  <si>
    <t>Valomų ir tvarkomų viešųjų erdvių ploto dalis nuo miesto ploto</t>
  </si>
  <si>
    <t>Mechanizuotai valomų gatvių plotas</t>
  </si>
  <si>
    <t>3 790 000,00</t>
  </si>
  <si>
    <t>Valomų šaligatvių plotas</t>
  </si>
  <si>
    <t>1 417 600,00</t>
  </si>
  <si>
    <t>Žiemos sezonu barstomų gatvių plotas</t>
  </si>
  <si>
    <t>4 050 500,00</t>
  </si>
  <si>
    <t>3.3.1.6.005</t>
  </si>
  <si>
    <t>Miesto tvarkymo darbai (smulkūs infrastruktūros priežiūros darbai,  mažosios architektūros elementai, žalos ir kt.)</t>
  </si>
  <si>
    <t>Atliktų veiklų kiekis</t>
  </si>
  <si>
    <t>33,00</t>
  </si>
  <si>
    <t>Išmokėtos lėšos miesto gatvėse padarytoms žaloms kompensuoti</t>
  </si>
  <si>
    <t>3.3.1.6.006</t>
  </si>
  <si>
    <t>Visuomeninės paskirties objektų prieinamumo didinimas</t>
  </si>
  <si>
    <t>Pritaikytų objektų skaičius</t>
  </si>
  <si>
    <t>3.3.1.6.007</t>
  </si>
  <si>
    <t>Miesto fontanų įrengimas, remontas, priežiūra ir eksploatavimas</t>
  </si>
  <si>
    <t>Priežiūros vykdymo patikrinimų skaičius</t>
  </si>
  <si>
    <t>Atnaujintų fontanų kiekis</t>
  </si>
  <si>
    <t>3.3.2</t>
  </si>
  <si>
    <t>Sudaryti sąlygas miesto teritorijų, socialinės ir inžinerinės infrastruktūros plėtros planavimo sinergijai</t>
  </si>
  <si>
    <t>3.3.2.1</t>
  </si>
  <si>
    <t>Siekti integruoto inžinerinių tinklų plėtros valdymo (įtraukiant išorinius partnerius), prioretizuojant teritorijas, kur infrastruktūros vystymas atsilieka</t>
  </si>
  <si>
    <t>3.3.2.1.001</t>
  </si>
  <si>
    <t>Specialiųjų planų rengimas</t>
  </si>
  <si>
    <t>Patvirtintų  specialiųjų planų skaičius</t>
  </si>
  <si>
    <t>3.3.2.2</t>
  </si>
  <si>
    <t>Užtikrinti aukštos kokybės geriamojo vandens tiekimo ir tvarią nuotekų valymo infrastruktūrą</t>
  </si>
  <si>
    <t>3.3.2.2.001</t>
  </si>
  <si>
    <t>Geriamojo vandens tiekimo, nuotekų tvarkymo infrastruktūros plėtra ir rekonstrukcija Kaune</t>
  </si>
  <si>
    <t>Rekonstruoti vandens tiekimo ir nuotekų surinkimo tinklai</t>
  </si>
  <si>
    <t>Km</t>
  </si>
  <si>
    <t>26,80</t>
  </si>
  <si>
    <t>3.3.2.2.002</t>
  </si>
  <si>
    <t>Paviršinių nuotekų tvarkymas</t>
  </si>
  <si>
    <t>Prižiūrimų paviršinių nuotekų tinklų plotas nuo visų tinklų ploto</t>
  </si>
  <si>
    <t>Dėl paviršinių nuotekų tvarkymo sutarties vykdymo patikrinimų skaičius</t>
  </si>
  <si>
    <t>3.3.2.2.003</t>
  </si>
  <si>
    <t>Gyvenamųjų namų prijungimo prie geriamojo vandens tiekimo ir (arba) nuotekų tvarkymo infrastruktūros, kurią eksploatuoja geriamojo vandens tiekėjas ir nuotekų tvarkytojas, programos įgyvendinimas</t>
  </si>
  <si>
    <t>Sudarytų abonentų sutarčių skaičius</t>
  </si>
  <si>
    <t>1 200,00</t>
  </si>
  <si>
    <t>3.3.2.2.004</t>
  </si>
  <si>
    <t>Paviršinių nuotekų tinklų rekonstrukcija ir plėtra Kaune</t>
  </si>
  <si>
    <t>Lietaus nuotėkio plotas, iš kurio surenkamam paviršiniam (lietaus) vandeniui tvarkyti, įrengta ir (ar) rekonstruota infrastruktūra</t>
  </si>
  <si>
    <t>Ha</t>
  </si>
  <si>
    <t>1 064,04</t>
  </si>
  <si>
    <t>3.3.2.3</t>
  </si>
  <si>
    <t>Užtikrinti gyventojų poreikius atliepiančią socialinę infrastruktūrą</t>
  </si>
  <si>
    <t>3.3.2.3.001</t>
  </si>
  <si>
    <t>Kapinių priežiūros administravimas, kapinių priežiūra ir neatpažintų mirusių asmenų vežimas ir laidojimas</t>
  </si>
  <si>
    <t>Prižiūrimų kapinių plotas</t>
  </si>
  <si>
    <t>14 131,00</t>
  </si>
  <si>
    <t>Vežtų ir palaidotų neatpažintų mirusių asmenų kiekis nuo būtinų palaidoti asmenų skaičiaus</t>
  </si>
  <si>
    <t>3.3.2.3.002</t>
  </si>
  <si>
    <t>Nemuno salos išvystymas į daugiafunkcį sveikatinimo ir kultūros kompleksą pritaikant jį visuomenės poreikiams</t>
  </si>
  <si>
    <t>3.</t>
  </si>
  <si>
    <t>Sukurtos arba atnaujintos atviros erdvės miestų vietovėse</t>
  </si>
  <si>
    <t>283 282,00</t>
  </si>
  <si>
    <t>3.3.2.3.003</t>
  </si>
  <si>
    <t>Kapinių infrastruktūros gerinimas</t>
  </si>
  <si>
    <t>3.3.2.3.004</t>
  </si>
  <si>
    <t>Teritorijos prie daugiafunkcio  S. Dariaus ir S. Girėno sveikatinimo, kultūros ir užimtumo centro, Sporto halės, Sporto g. ir jos prieigų sutvarkymas</t>
  </si>
  <si>
    <t>13 301,00</t>
  </si>
  <si>
    <t>3.3.2.3.005</t>
  </si>
  <si>
    <t>Administracinės paskirties pastato su kremavimo paslaugų paskirties patalpomis Kauno r. sav., Rokų sen., Vainatrakio k., nauja statyba</t>
  </si>
  <si>
    <t>3.3.2.4</t>
  </si>
  <si>
    <t>Sudaryti sąlygas miesto socialinės ir inžinerinės infrastruktūros plėtros planavimo sinergijai</t>
  </si>
  <si>
    <t>3.3.2.4.001</t>
  </si>
  <si>
    <t>Geoinformacinės duomenų bazės plėtojimas</t>
  </si>
  <si>
    <t>Suderintų topografinių nuotraukų skaičius</t>
  </si>
  <si>
    <t>6 000,00</t>
  </si>
  <si>
    <t>Naujai paklotų požeminių komunikacijų kontrolinių nuotraukų skaičius</t>
  </si>
  <si>
    <t>3.3.2.4.002</t>
  </si>
  <si>
    <t>Socialinės ir inžinerinės infrastruktūros plėtra</t>
  </si>
  <si>
    <t>Parengtų planų skaičius</t>
  </si>
  <si>
    <t>Sudarytų infrastruktūros plėtros sutarčių dalis, nuo visų pateiktų pasiūlymų dėl infrastruktūros sutarčių sudarymo</t>
  </si>
  <si>
    <t>3.3.3</t>
  </si>
  <si>
    <t>Užtikrinti gamybinės, komercinės ir gyvenamosios aplinkos dermę, skatinant mišrios paskirties teritorijų vystymą</t>
  </si>
  <si>
    <t>3.3.3.1</t>
  </si>
  <si>
    <t>Regeneruoti didžiausią konversijos potencialą turinčias besitraukiančias industrines (pramonines ir infrastruktūrines) teritorijas Centro gretimybėse</t>
  </si>
  <si>
    <t>3.3.3.1.001</t>
  </si>
  <si>
    <t>Buvusios Aviacijos gamyklos teritorijos konversija</t>
  </si>
  <si>
    <t>3.3.3.2</t>
  </si>
  <si>
    <t>Užtikrinti darnų veikiančių pramoninių teritorijų ir komercinių kvartalų vystymąsi ir jų integraciją su aplinkinėmis teritorijomis</t>
  </si>
  <si>
    <t>3.3.3.3</t>
  </si>
  <si>
    <t>Puoselėti nedidelių atstumų miestą vystant esamus ir kuriant naujus lokalius centrus</t>
  </si>
  <si>
    <t>3.3.4</t>
  </si>
  <si>
    <t>Puoselėti ir saugoti miesto savitumo sluoksnius</t>
  </si>
  <si>
    <t>3.3.4.1</t>
  </si>
  <si>
    <t>Puoselėti, saugoti ir atskleisti Kauno tarpukario architektūros identitetą</t>
  </si>
  <si>
    <t>3.3.4.1.001</t>
  </si>
  <si>
    <t>Kultūros paveldo objektų tvarkymas įgyvendinant Kauno miesto savivaldybės paveldotvarkos programą</t>
  </si>
  <si>
    <t>Kultūros paveldo skyrius</t>
  </si>
  <si>
    <t>Tvarkomų kultūros paveldo objektų skaičius</t>
  </si>
  <si>
    <t>3.3.4.2</t>
  </si>
  <si>
    <t>Užtikrinti tinkamą Kauno tvirtovės objektų ir teritorijų įveiklinimą, pritaikymą šiuolaikiniams poreikiams</t>
  </si>
  <si>
    <t>3.3.4.2.001</t>
  </si>
  <si>
    <t>Kauno tvirtovės regioninio parko sutvarkymas ir pritaikymas visuomenės ir turizmo poreikiams</t>
  </si>
  <si>
    <t>Įgyvendintų paveldo tvarkybos, sklaidos ir pritaikymo priemonių skaičius</t>
  </si>
  <si>
    <t>3.3.4.2.002</t>
  </si>
  <si>
    <t>Kauno tvirtovės VI forto restauravimas ir pritaikymas visuomenės ir turizmo poreikiams,  įgyvendinant projektą „Tarpvalstybinio bendradarbiavimo skatinimas per  regionų kultūros paveldo  turizmą (CIRCUIT)“</t>
  </si>
  <si>
    <t>3.3.4.3</t>
  </si>
  <si>
    <t>Įveiklinti ir pritaikyti miesto upes (Nemuną, Nerį ir kitus intakus), teikiant prioritetą bioįvairovei, rekreacijai ir darniam judėjimui</t>
  </si>
  <si>
    <t>3.3.4.3.001</t>
  </si>
  <si>
    <t>Sąlygų aktyviam miesto gyventojų poilsiui sudarymas prižiūrint paplūdimius</t>
  </si>
  <si>
    <t>Prižiūrimų paplūdimių skaičius</t>
  </si>
  <si>
    <t>3.3.4.4</t>
  </si>
  <si>
    <t>Puoselėti atskirų Kauno miesto teritorijų erdvinį, kultūrinį ir socialinį identitetą</t>
  </si>
  <si>
    <t>3.3.4.4.001</t>
  </si>
  <si>
    <t>S. Dariaus ir S. Girėno aerodromo išlaikymas</t>
  </si>
  <si>
    <t>Pajamos už mokamas paslaugas</t>
  </si>
  <si>
    <t>106 000,00</t>
  </si>
  <si>
    <t>106 500,00</t>
  </si>
  <si>
    <t>107 000,00</t>
  </si>
  <si>
    <t>Į Aerodromą atskridusių bendrosios aviacijos orlaivių skaičius</t>
  </si>
  <si>
    <t>485,00</t>
  </si>
  <si>
    <t>Atnaujintų viešųjų erdvių plotas</t>
  </si>
  <si>
    <t>13 000,00</t>
  </si>
  <si>
    <t>14 000,00</t>
  </si>
  <si>
    <t>Atliktų viešųjų erdvių veiklos patikrų skaičius</t>
  </si>
  <si>
    <t>3.3.4.4.002</t>
  </si>
  <si>
    <t>Projekto „Ateities urbanistinių centrų įveiklinimas pasitelkiant kultūra ir kūrybiškumu grįstas pokyčių strategijas“ (santrumpa angl. „T- Factor“) įgyvendinimas</t>
  </si>
  <si>
    <t>3.3.4.4.003</t>
  </si>
  <si>
    <t>Teritorijų (funkcinio, erdvinio ir meninio aplinkos) formavimo (plėtojimo) studijų rengimas</t>
  </si>
  <si>
    <t>Parengtų architektūrinių - urbanistinių studijų skaičius</t>
  </si>
  <si>
    <t>3.3.4.4.004</t>
  </si>
  <si>
    <t>Miesto bendruomenės įtraukimas įgyvendinant programos "Iniciatyvos Kaunui" urbanistikos ir architektūros srities projektus</t>
  </si>
  <si>
    <t>Parengtų urbanistinių vizijų (scenarijų) skaičius</t>
  </si>
  <si>
    <t>Suorganizuota renginių (urbanistinių scenarijų pristatymų skaičius)</t>
  </si>
  <si>
    <t>Į veiklą įtrauktų architektų skaičius</t>
  </si>
  <si>
    <t>Į veiklą įtrauktų savanorių skaičius</t>
  </si>
  <si>
    <t>3.4</t>
  </si>
  <si>
    <t>Žaliojo kurso principais paremtas modernus, efektyviai išteklius naudojantis, klimato kaitą švelninantis ir konkurencingas miestas</t>
  </si>
  <si>
    <t>3.4.1</t>
  </si>
  <si>
    <t>Skatinti efektyvų išteklių valdymą ir atliekų prevenciją</t>
  </si>
  <si>
    <t>3.4.1.1</t>
  </si>
  <si>
    <t>Sukurti Kauno miesto perėjimo prie žiedinės ekonomikos strategiją ir miesto išteklių valdymo, apimančią duomenų kaupimo ir valdymo sistemą (skirtą analizuoti medžiagų srautus, ekonominius ir socialinius rodiklius)</t>
  </si>
  <si>
    <t>3.4.1.2</t>
  </si>
  <si>
    <t>Gerinti antrinių žaliavų kokybę, vystant surinkimo ir perdirbimo infrastruktūrą, siekiant mažinti atliekų patekimą į deginimą ar sąvartynus</t>
  </si>
  <si>
    <t>3.4.1.2.001</t>
  </si>
  <si>
    <t>Komunalinių atliekų konteinerių aikštelių įrengimas Kauno mieste</t>
  </si>
  <si>
    <t>Įrengtų komunalinių atliekų aikštelių skaičius</t>
  </si>
  <si>
    <t>625,00</t>
  </si>
  <si>
    <t>3.4.1.3</t>
  </si>
  <si>
    <t>Skatinti kompleksinę renovaciją daugiabučiuose gyvenamuosiuose namuose ir savivaldybės viešuosiuose pastatuose</t>
  </si>
  <si>
    <t>3.4.1.3.001</t>
  </si>
  <si>
    <t>Kauno Būsto modernizavimo agentūros veiklos efektyvumo užtikrinimas</t>
  </si>
  <si>
    <t>Būsto modernizavimo, administravimo ir energetikos skyrius</t>
  </si>
  <si>
    <t>Pritraukti daugiabučiai gyvenamieji namai norintys atnaujinti (modernizuoti) daugiabučius gyvenamuosius namus bei siekiantys įgyvendinti energinį efektyvumą didinančias priemones</t>
  </si>
  <si>
    <t>3.4.1.3.002</t>
  </si>
  <si>
    <t>Tinkamas miesto daugiabučių namų bendrojo naudojimo objektų administravimo užtikrinimas</t>
  </si>
  <si>
    <t>Paskirtų daugiabučių namų bendrojo naudojimo objektų administratorių skaičius</t>
  </si>
  <si>
    <t>Atliktų planinių kompleksinių valdytojų veiklos patikrinimų skaičius</t>
  </si>
  <si>
    <t>Atliktų neplaninių valdytojų veiklos patikrinimų (pagal gyventojų skundus) skaičius</t>
  </si>
  <si>
    <t>Parengtų administracijos direktoriaus įsakymų dėl draudimo rūkyti daugiabučių namų balkonuose, terasose ir lodžijose, nuosavybės teise priklausančiuose atskiriems savininkams, dalis nuo visų gautų prašymų</t>
  </si>
  <si>
    <t>3.4.1.3.003</t>
  </si>
  <si>
    <t>Subsidijoms už šiluminę energiją dėl kainų skirtumo mokėti</t>
  </si>
  <si>
    <t>Subsidijų gavėjų skaičius</t>
  </si>
  <si>
    <t>Nepriklausomų šilumos tiekėjų tiekiamos šilumos kainos pagrįstumo patikrų skaičius</t>
  </si>
  <si>
    <t>3.4.1.3.004</t>
  </si>
  <si>
    <t>Šilumos ūkio specialiojo plano atnaujinimas</t>
  </si>
  <si>
    <t>Atnaujintų planų skaičius</t>
  </si>
  <si>
    <t>3.4.1.4</t>
  </si>
  <si>
    <t>Didinti Kauno miesto įstaigų ir organizacijų perkamą elektros energiją tik iš atsinaujinančių išteklių</t>
  </si>
  <si>
    <t>3.4.1.4.001</t>
  </si>
  <si>
    <t>Atsinaujinančių energijos išteklių diegimo skatinimas visuomeninės ir gyvenamosios paskirties pastatuose</t>
  </si>
  <si>
    <t>Instaliuotų saulės šviesos energiją naudojančių elektrinių bendra suminė įrengtoji galia</t>
  </si>
  <si>
    <t>3 000,00</t>
  </si>
  <si>
    <t>2 000,00</t>
  </si>
  <si>
    <t>Koordinuotų rangos darbų priežiūros sutarčių skaičius</t>
  </si>
  <si>
    <t>Papildomam finansavimui gauti pateiktų paraiškų skaičius</t>
  </si>
  <si>
    <t>3.4.1.4.002</t>
  </si>
  <si>
    <t>Kauno miesto atsinaujinančių išteklių energijos naudojimo plėtros užtikrinimas</t>
  </si>
  <si>
    <t>Parengtas Kauno miesto atsinaujinančių išteklių energijos naudojimo plėtros veiksmų planas</t>
  </si>
  <si>
    <t>3.4.2</t>
  </si>
  <si>
    <t>Mažinti aplinkos taršą ir kurti miesto ekosistemą, siekiant didinti atsparumą klimato kaitos padariniams</t>
  </si>
  <si>
    <t>3.4.2.1</t>
  </si>
  <si>
    <t>Didinti paviršinių nuotekų surinkimo sistemos plėtrą ir atskirti ją nuo buitinių nuotekų</t>
  </si>
  <si>
    <t>3.4.2.2</t>
  </si>
  <si>
    <t>Vystyti miestų žaliuosius plotus</t>
  </si>
  <si>
    <t>3.4.2.2.001</t>
  </si>
  <si>
    <t>Miškų tvarkymas įgyvendinant miškotvarkos projektą (valstybinė funkcija)</t>
  </si>
  <si>
    <t>Prižiūrimų miškų plotas</t>
  </si>
  <si>
    <t>666,40</t>
  </si>
  <si>
    <t>3.4.2.2.002</t>
  </si>
  <si>
    <t>Gėlynų, želdinių ir žaliųjų erdvių tvarkymas</t>
  </si>
  <si>
    <t>Prižiūrimų Kauno miesto gėlynų ir vejos plotas</t>
  </si>
  <si>
    <t>69 963,00</t>
  </si>
  <si>
    <t>70 063,00</t>
  </si>
  <si>
    <t>70 163,00</t>
  </si>
  <si>
    <t>Pabaigtų ir (ar) naujai pasirašytų želdinių tvarkymo paslaugų sutarčių skaičius</t>
  </si>
  <si>
    <t>3.4.2.2.003</t>
  </si>
  <si>
    <t>Parkų sutvarkymas (rekonstravimas), pritaikant juos visuomenės poreikiams</t>
  </si>
  <si>
    <t>Sutvarkytų parkų ir skverų teritorijų plotas</t>
  </si>
  <si>
    <t>3,84</t>
  </si>
  <si>
    <t>4,70</t>
  </si>
  <si>
    <t>3,90</t>
  </si>
  <si>
    <t>Techninių projektų parengimo darbų pirkimo iniciatyvų skaičius</t>
  </si>
  <si>
    <t>3.4.2.2.004</t>
  </si>
  <si>
    <t>Miesto vejų priežiūra ir jos kokybės gerinimas</t>
  </si>
  <si>
    <t>Prižiūrimų (šienaujamų) vejų dalis nuo visų vejų plotų</t>
  </si>
  <si>
    <t>Šienaujamų vejų plotas</t>
  </si>
  <si>
    <t>43 000 000,00</t>
  </si>
  <si>
    <t>43 500 000,00</t>
  </si>
  <si>
    <t>44 000 000,00</t>
  </si>
  <si>
    <t>3.4.2.3</t>
  </si>
  <si>
    <t>Didinti centralizuotos šilumos ir vėsumos plėtrą, prijungiant individualius vartotojus</t>
  </si>
  <si>
    <t>3.4.2.3.001</t>
  </si>
  <si>
    <t>Gyvenamųjų namų prijungimo prie centralizuoto šilumos tiekimo tinklo, mažinant iškastinio kuro vartojimą ir oro taršą mieste programos įgyvendinimas</t>
  </si>
  <si>
    <t>Gyvenamųjų namų naujai prijungtų prie centralizuoto šilumos tiekimo tinklo skaičius</t>
  </si>
  <si>
    <t>3.4.2.4</t>
  </si>
  <si>
    <t>Didinti oro taršos matavimo sistemos (realiu laiku) plėtrą ir integruoti su Savivaldybės aplinkos kokybės vertinimo sistemomis</t>
  </si>
  <si>
    <t>3.4.2.4.001</t>
  </si>
  <si>
    <t>Aplinkos teršimo šaltinių šalinimas ir Aplinkos kokybės gerinimas, įgyvendinant aplinkos apsaugos rėmimo specialiają programą</t>
  </si>
  <si>
    <t>Šiltuoju metų laiku laistomų žvyruotų kelių dalis nuo visų žvyruotų kelių</t>
  </si>
  <si>
    <t>Naikinamų Sosnovskio barščių plotas (40 ha)</t>
  </si>
  <si>
    <t>Lapių regioniniame sąvartyne utilizuotų asbesto turinčių atliekų kiekis</t>
  </si>
  <si>
    <t>T</t>
  </si>
  <si>
    <t>Atliktų aplinkos oro, paviršinio, maudyklų ir gruntinio vandens tyrimų skaičius</t>
  </si>
  <si>
    <t>532,00</t>
  </si>
  <si>
    <t>Sutvarkytų saugotinų želdinių skaičius</t>
  </si>
  <si>
    <t>Pastatytų tekstilės, antrinių žaliavų ir kitų atliekų surinkimo konteinerių skaičius</t>
  </si>
  <si>
    <t>3.4.3</t>
  </si>
  <si>
    <t>Skatinti perėjimą prie žiedinės ekonomikos ir tausaus išteklių naudojimo</t>
  </si>
  <si>
    <t>3.4.3.1</t>
  </si>
  <si>
    <t>Pritaikyti žaliųjų pirkimų aprašą ir patvirtinti produktų sąrašą</t>
  </si>
  <si>
    <t>3.4.3.2</t>
  </si>
  <si>
    <t>Inicijuoti skatinimo ir paramos priemones, įtraukiant vietos suinteresuotuosius (verslą ir gyventojus) kurti žiedines įmones ir iniciatyvas, pagrįstas žiedinės ekonomikos prioritetais</t>
  </si>
  <si>
    <t>3.4.3.3</t>
  </si>
  <si>
    <t>Panaudojant Kauno – UNESCO Besimokančių miestų tinklui priklausančio miesto potencialą, inicijuoti miestiečių (verslo bendruomenės ir miesto gyventojų) ugdymą apie žiedinės ekonomikos naudą, poveikį aplinkai ir ekonomikai</t>
  </si>
  <si>
    <t>3.4.3.4</t>
  </si>
  <si>
    <t>Inicijuoti su akademinėmis miesto institucijomis tyrimų ir plėtros programą, skirtą žiedinės ekonomikos principų diegimui Kaune</t>
  </si>
  <si>
    <t>3.4.3.4.001</t>
  </si>
  <si>
    <t>Kauno miesto įvaizdžiui svarbių statinių tvarkymo programos įgyvendinimas</t>
  </si>
  <si>
    <t>Sutvarkytų statinių skaičius</t>
  </si>
  <si>
    <t>3.4.3.4.002</t>
  </si>
  <si>
    <t>Projekto „Bendradarbiavimas gamybos srityje, siekiant vystyti žiedinę ekonomiką. Bendruomeninis aspektas“ įgyvendinimas</t>
  </si>
  <si>
    <t>3.4.3.4.003</t>
  </si>
  <si>
    <t>Projekto „Baltijos šalių sprendimai valdant plastiko taršą žiedinėje ekonomikoje (BALTIPLAST)“ įgyvendinimas</t>
  </si>
  <si>
    <t>3.4.3.5</t>
  </si>
  <si>
    <t>Panaudoti miestui priklausančias nenaudojamas erdves ar statinius žiedinės ekonomikos verslo modeliu grįsto verslo inkubavimui ir tokiu būdu skatinti naujų ir inovatyvių produktų bei paslaugų atsiradimą Kauno mieste</t>
  </si>
  <si>
    <t>3.4.4</t>
  </si>
  <si>
    <t>Išsaugoti biologinę įvairovę mieste</t>
  </si>
  <si>
    <t>3.4.4.1</t>
  </si>
  <si>
    <t>Palaikyti ir plėsti „Natura“ tinklą</t>
  </si>
  <si>
    <t>3.4.4.2</t>
  </si>
  <si>
    <t>Kurti žaliųjų jungčių ir koridorių sistemą</t>
  </si>
  <si>
    <t>3.4.4.3</t>
  </si>
  <si>
    <t>Sudaryti tinkamas sąlygas natūraliai saugomų buveinių gerinimui, plėtojimui ir išsaugojimui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</si>
</sst>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F2D8BF"/>
        <bgColor rgb="FFF2D8BF"/>
      </patternFill>
    </fill>
    <fill>
      <patternFill patternType="solid">
        <fgColor rgb="FFECD9F8"/>
        <bgColor rgb="FFECD9F8"/>
      </patternFill>
    </fill>
    <fill>
      <patternFill patternType="solid">
        <fgColor rgb="FFC3E2F6"/>
        <bgColor rgb="FFC3E2F6"/>
      </patternFill>
    </fill>
    <fill>
      <patternFill patternType="solid">
        <fgColor rgb="FFF9F96E"/>
        <bgColor rgb="FFF9F96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 applyBorder="0"/>
  </cellStyleXfs>
  <cellXfs count="360">
    <xf numFmtId="0" fontId="0" fillId="0" borderId="0" xfId="0"/>
    <xf numFmtId="0" fontId="1" fillId="7" borderId="8" xfId="0" applyFont="1" applyFill="1" applyBorder="1" applyAlignment="1">
      <alignment horizontal="center" vertical="center" wrapText="1" readingOrder="1"/>
    </xf>
    <xf numFmtId="0" fontId="1" fillId="7" borderId="9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5" xfId="0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 applyProtection="1">
      <alignment horizontal="center" vertical="top" wrapText="1" readingOrder="1"/>
      <protection locked="0"/>
    </xf>
    <xf numFmtId="0" fontId="5" fillId="0" borderId="11" xfId="0" applyFont="1" applyBorder="1" applyAlignment="1" applyProtection="1">
      <alignment horizontal="center" vertical="top" wrapText="1" readingOrder="1"/>
      <protection locked="0"/>
    </xf>
    <xf numFmtId="0" fontId="5" fillId="0" borderId="17" xfId="0" applyFont="1" applyBorder="1" applyAlignment="1" applyProtection="1">
      <alignment horizontal="left" vertical="top" wrapText="1" readingOrder="1"/>
      <protection locked="0"/>
    </xf>
    <xf numFmtId="0" fontId="5" fillId="0" borderId="40" xfId="0" applyFont="1" applyBorder="1" applyAlignment="1" applyProtection="1">
      <alignment horizontal="center" vertical="top" wrapText="1" readingOrder="1"/>
      <protection locked="0"/>
    </xf>
    <xf numFmtId="0" fontId="5" fillId="0" borderId="50" xfId="0" applyFont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6" fillId="2" borderId="0" xfId="0" applyFont="1" applyFill="1" applyAlignment="1" applyProtection="1">
      <alignment horizontal="center" vertical="top" wrapText="1" readingOrder="1"/>
      <protection locked="0"/>
    </xf>
    <xf numFmtId="0" fontId="6" fillId="2" borderId="0" xfId="0" applyFont="1" applyFill="1" applyAlignment="1" applyProtection="1">
      <alignment horizontal="left" vertical="top" wrapText="1" readingOrder="1"/>
      <protection locked="0"/>
    </xf>
    <xf numFmtId="0" fontId="3" fillId="2" borderId="0" xfId="0" applyFont="1" applyFill="1" applyAlignment="1">
      <alignment wrapText="1"/>
    </xf>
    <xf numFmtId="0" fontId="4" fillId="6" borderId="4" xfId="0" applyFont="1" applyFill="1" applyBorder="1" applyAlignment="1" applyProtection="1">
      <alignment horizontal="left" vertical="top" wrapText="1" readingOrder="1"/>
      <protection locked="0"/>
    </xf>
    <xf numFmtId="0" fontId="5" fillId="5" borderId="4" xfId="0" applyFont="1" applyFill="1" applyBorder="1" applyAlignment="1" applyProtection="1">
      <alignment horizontal="left" vertical="top" wrapText="1" readingOrder="1"/>
      <protection locked="0"/>
    </xf>
    <xf numFmtId="0" fontId="5" fillId="4" borderId="4" xfId="0" applyFont="1" applyFill="1" applyBorder="1" applyAlignment="1" applyProtection="1">
      <alignment horizontal="left" vertical="top" wrapText="1" readingOrder="1"/>
      <protection locked="0"/>
    </xf>
    <xf numFmtId="0" fontId="5" fillId="3" borderId="4" xfId="0" applyFont="1" applyFill="1" applyBorder="1" applyAlignment="1" applyProtection="1">
      <alignment horizontal="left" vertical="top" wrapText="1" readingOrder="1"/>
      <protection locked="0"/>
    </xf>
    <xf numFmtId="0" fontId="5" fillId="0" borderId="4" xfId="0" applyFont="1" applyBorder="1" applyAlignment="1" applyProtection="1">
      <alignment horizontal="left" vertical="top" wrapText="1" readingOrder="1"/>
      <protection locked="0"/>
    </xf>
    <xf numFmtId="0" fontId="5" fillId="0" borderId="10" xfId="0" applyFont="1" applyBorder="1" applyAlignment="1" applyProtection="1">
      <alignment horizontal="left" vertical="top" wrapText="1" readingOrder="1"/>
      <protection locked="0"/>
    </xf>
    <xf numFmtId="0" fontId="5" fillId="3" borderId="34" xfId="0" applyFont="1" applyFill="1" applyBorder="1" applyAlignment="1" applyProtection="1">
      <alignment horizontal="left" vertical="top" wrapText="1" readingOrder="1"/>
      <protection locked="0"/>
    </xf>
    <xf numFmtId="0" fontId="5" fillId="3" borderId="2" xfId="0" applyFont="1" applyFill="1" applyBorder="1" applyAlignment="1" applyProtection="1">
      <alignment horizontal="left" vertical="top" wrapText="1" readingOrder="1"/>
      <protection locked="0"/>
    </xf>
    <xf numFmtId="0" fontId="3" fillId="0" borderId="0" xfId="0" applyFont="1" applyAlignment="1">
      <alignment horizontal="left" vertical="top" wrapText="1"/>
    </xf>
    <xf numFmtId="0" fontId="5" fillId="0" borderId="11" xfId="0" applyFont="1" applyBorder="1" applyAlignment="1" applyProtection="1">
      <alignment horizontal="left" vertical="top" wrapText="1" readingOrder="1"/>
      <protection locked="0"/>
    </xf>
    <xf numFmtId="0" fontId="3" fillId="0" borderId="11" xfId="0" applyFont="1" applyBorder="1" applyAlignment="1" applyProtection="1">
      <alignment horizontal="left" vertical="top" wrapText="1" readingOrder="1"/>
      <protection locked="0"/>
    </xf>
    <xf numFmtId="0" fontId="3" fillId="0" borderId="5" xfId="0" applyFont="1" applyBorder="1" applyAlignment="1" applyProtection="1">
      <alignment horizontal="left" vertical="top" wrapText="1" readingOrder="1"/>
      <protection locked="0"/>
    </xf>
    <xf numFmtId="0" fontId="3" fillId="2" borderId="0" xfId="0" applyFont="1" applyFill="1" applyAlignment="1">
      <alignment vertical="top" wrapText="1"/>
    </xf>
    <xf numFmtId="0" fontId="5" fillId="0" borderId="6" xfId="0" applyFont="1" applyBorder="1" applyAlignment="1" applyProtection="1">
      <alignment horizontal="center" vertical="top" wrapText="1" readingOrder="1"/>
      <protection locked="0"/>
    </xf>
    <xf numFmtId="0" fontId="5" fillId="0" borderId="7" xfId="0" applyFont="1" applyBorder="1" applyAlignment="1" applyProtection="1">
      <alignment horizontal="center" vertical="top" wrapText="1" readingOrder="1"/>
      <protection locked="0"/>
    </xf>
    <xf numFmtId="0" fontId="5" fillId="0" borderId="17" xfId="0" applyFont="1" applyBorder="1" applyAlignment="1" applyProtection="1">
      <alignment horizontal="center" vertical="top" wrapText="1" readingOrder="1"/>
      <protection locked="0"/>
    </xf>
    <xf numFmtId="0" fontId="5" fillId="0" borderId="29" xfId="0" applyFont="1" applyBorder="1" applyAlignment="1" applyProtection="1">
      <alignment horizontal="center" vertical="top" wrapText="1" readingOrder="1"/>
      <protection locked="0"/>
    </xf>
    <xf numFmtId="2" fontId="3" fillId="0" borderId="0" xfId="0" applyNumberFormat="1" applyFont="1" applyAlignment="1">
      <alignment horizontal="center" vertical="top" wrapText="1"/>
    </xf>
    <xf numFmtId="2" fontId="4" fillId="6" borderId="5" xfId="0" applyNumberFormat="1" applyFont="1" applyFill="1" applyBorder="1" applyAlignment="1">
      <alignment horizontal="center" vertical="top" wrapText="1" readingOrder="1"/>
    </xf>
    <xf numFmtId="2" fontId="5" fillId="5" borderId="5" xfId="0" applyNumberFormat="1" applyFont="1" applyFill="1" applyBorder="1" applyAlignment="1">
      <alignment horizontal="center" vertical="top" wrapText="1" readingOrder="1"/>
    </xf>
    <xf numFmtId="2" fontId="5" fillId="4" borderId="5" xfId="0" applyNumberFormat="1" applyFont="1" applyFill="1" applyBorder="1" applyAlignment="1">
      <alignment horizontal="center" vertical="top" wrapText="1" readingOrder="1"/>
    </xf>
    <xf numFmtId="2" fontId="5" fillId="3" borderId="5" xfId="0" applyNumberFormat="1" applyFont="1" applyFill="1" applyBorder="1" applyAlignment="1">
      <alignment horizontal="center" vertical="top" wrapText="1" readingOrder="1"/>
    </xf>
    <xf numFmtId="2" fontId="5" fillId="0" borderId="1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11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5" xfId="0" applyNumberFormat="1" applyFont="1" applyBorder="1" applyAlignment="1" applyProtection="1">
      <alignment horizontal="center" vertical="top" wrapText="1" readingOrder="1"/>
      <protection locked="0"/>
    </xf>
    <xf numFmtId="2" fontId="5" fillId="3" borderId="5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0" borderId="5" xfId="0" applyNumberFormat="1" applyFont="1" applyBorder="1" applyAlignment="1">
      <alignment horizontal="center" vertical="top" wrapText="1" readingOrder="1"/>
    </xf>
    <xf numFmtId="2" fontId="5" fillId="0" borderId="40" xfId="0" applyNumberFormat="1" applyFont="1" applyBorder="1" applyAlignment="1">
      <alignment horizontal="center" vertical="top" wrapText="1" readingOrder="1"/>
    </xf>
    <xf numFmtId="2" fontId="5" fillId="0" borderId="50" xfId="0" applyNumberFormat="1" applyFont="1" applyBorder="1" applyAlignment="1" applyProtection="1">
      <alignment horizontal="center" vertical="top" wrapText="1" readingOrder="1"/>
      <protection locked="0"/>
    </xf>
    <xf numFmtId="2" fontId="5" fillId="3" borderId="28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3" borderId="3" xfId="0" applyNumberFormat="1" applyFont="1" applyFill="1" applyBorder="1" applyAlignment="1" applyProtection="1">
      <alignment horizontal="center" vertical="top" wrapText="1" readingOrder="1"/>
      <protection locked="0"/>
    </xf>
    <xf numFmtId="2" fontId="6" fillId="2" borderId="0" xfId="0" applyNumberFormat="1" applyFont="1" applyFill="1" applyAlignment="1" applyProtection="1">
      <alignment horizontal="center" vertical="top" wrapText="1" readingOrder="1"/>
      <protection locked="0"/>
    </xf>
    <xf numFmtId="2" fontId="3" fillId="2" borderId="23" xfId="0" applyNumberFormat="1" applyFont="1" applyFill="1" applyBorder="1" applyAlignment="1">
      <alignment horizontal="center" vertical="top" wrapText="1"/>
    </xf>
    <xf numFmtId="0" fontId="5" fillId="0" borderId="28" xfId="0" applyFont="1" applyBorder="1" applyAlignment="1" applyProtection="1">
      <alignment horizontal="center" vertical="top" wrapText="1" readingOrder="1"/>
      <protection locked="0"/>
    </xf>
    <xf numFmtId="0" fontId="5" fillId="0" borderId="52" xfId="0" applyFont="1" applyBorder="1" applyAlignment="1" applyProtection="1">
      <alignment horizontal="center" vertical="top" wrapText="1" readingOrder="1"/>
      <protection locked="0"/>
    </xf>
    <xf numFmtId="0" fontId="5" fillId="0" borderId="28" xfId="0" applyFont="1" applyBorder="1" applyAlignment="1" applyProtection="1">
      <alignment horizontal="left" vertical="top" wrapText="1" readingOrder="1"/>
      <protection locked="0"/>
    </xf>
    <xf numFmtId="2" fontId="5" fillId="0" borderId="28" xfId="0" applyNumberFormat="1" applyFont="1" applyBorder="1" applyAlignment="1" applyProtection="1">
      <alignment horizontal="center" vertical="top" wrapText="1" readingOrder="1"/>
      <protection locked="0"/>
    </xf>
    <xf numFmtId="0" fontId="5" fillId="8" borderId="5" xfId="0" applyFont="1" applyFill="1" applyBorder="1" applyAlignment="1" applyProtection="1">
      <alignment horizontal="left" vertical="top" wrapText="1" readingOrder="1"/>
      <protection locked="0"/>
    </xf>
    <xf numFmtId="0" fontId="5" fillId="8" borderId="5" xfId="0" applyFont="1" applyFill="1" applyBorder="1" applyAlignment="1" applyProtection="1">
      <alignment horizontal="center" vertical="top" wrapText="1" readingOrder="1"/>
      <protection locked="0"/>
    </xf>
    <xf numFmtId="0" fontId="5" fillId="0" borderId="40" xfId="0" applyFont="1" applyBorder="1" applyAlignment="1" applyProtection="1">
      <alignment horizontal="left" vertical="top" wrapText="1" readingOrder="1"/>
      <protection locked="0"/>
    </xf>
    <xf numFmtId="0" fontId="5" fillId="0" borderId="53" xfId="0" applyFont="1" applyBorder="1" applyAlignment="1" applyProtection="1">
      <alignment horizontal="center" vertical="top" wrapText="1" readingOrder="1"/>
      <protection locked="0"/>
    </xf>
    <xf numFmtId="0" fontId="5" fillId="0" borderId="50" xfId="0" applyFont="1" applyBorder="1" applyAlignment="1" applyProtection="1">
      <alignment horizontal="left" vertical="top" wrapText="1" readingOrder="1"/>
      <protection locked="0"/>
    </xf>
    <xf numFmtId="0" fontId="5" fillId="0" borderId="54" xfId="0" applyFont="1" applyBorder="1" applyAlignment="1" applyProtection="1">
      <alignment horizontal="center" vertical="top" wrapText="1" readingOrder="1"/>
      <protection locked="0"/>
    </xf>
    <xf numFmtId="0" fontId="5" fillId="8" borderId="1" xfId="0" applyFont="1" applyFill="1" applyBorder="1" applyAlignment="1" applyProtection="1">
      <alignment horizontal="center" vertical="top" wrapText="1" readingOrder="1"/>
      <protection locked="0"/>
    </xf>
    <xf numFmtId="0" fontId="5" fillId="8" borderId="7" xfId="0" applyFont="1" applyFill="1" applyBorder="1" applyAlignment="1" applyProtection="1">
      <alignment horizontal="center" vertical="top" wrapText="1" readingOrder="1"/>
      <protection locked="0"/>
    </xf>
    <xf numFmtId="2" fontId="5" fillId="8" borderId="1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8" borderId="5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8" borderId="6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0" borderId="34" xfId="0" applyFont="1" applyBorder="1" applyAlignment="1" applyProtection="1">
      <alignment horizontal="left" vertical="top" wrapText="1" readingOrder="1"/>
      <protection locked="0"/>
    </xf>
    <xf numFmtId="0" fontId="5" fillId="0" borderId="55" xfId="0" applyFont="1" applyBorder="1" applyAlignment="1" applyProtection="1">
      <alignment horizontal="center" vertical="top" wrapText="1" readingOrder="1"/>
      <protection locked="0"/>
    </xf>
    <xf numFmtId="0" fontId="5" fillId="9" borderId="5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wrapText="1"/>
    </xf>
    <xf numFmtId="0" fontId="5" fillId="9" borderId="6" xfId="0" applyFont="1" applyFill="1" applyBorder="1" applyAlignment="1" applyProtection="1">
      <alignment horizontal="center" vertical="top" wrapText="1" readingOrder="1"/>
      <protection locked="0"/>
    </xf>
    <xf numFmtId="0" fontId="5" fillId="9" borderId="7" xfId="0" applyFont="1" applyFill="1" applyBorder="1" applyAlignment="1" applyProtection="1">
      <alignment horizontal="center" vertical="top" wrapText="1" readingOrder="1"/>
      <protection locked="0"/>
    </xf>
    <xf numFmtId="0" fontId="3" fillId="9" borderId="0" xfId="0" applyFont="1" applyFill="1" applyAlignment="1">
      <alignment wrapText="1"/>
    </xf>
    <xf numFmtId="0" fontId="5" fillId="0" borderId="31" xfId="0" applyFont="1" applyBorder="1" applyAlignment="1" applyProtection="1">
      <alignment horizontal="center" vertical="top" wrapText="1" readingOrder="1"/>
      <protection locked="0"/>
    </xf>
    <xf numFmtId="2" fontId="3" fillId="0" borderId="0" xfId="0" applyNumberFormat="1" applyFont="1" applyAlignment="1">
      <alignment wrapText="1"/>
    </xf>
    <xf numFmtId="0" fontId="5" fillId="9" borderId="55" xfId="0" applyFont="1" applyFill="1" applyBorder="1" applyAlignment="1" applyProtection="1">
      <alignment horizontal="center" vertical="top" wrapText="1" readingOrder="1"/>
      <protection locked="0"/>
    </xf>
    <xf numFmtId="0" fontId="5" fillId="9" borderId="1" xfId="0" applyFont="1" applyFill="1" applyBorder="1" applyAlignment="1" applyProtection="1">
      <alignment horizontal="center" vertical="top" wrapText="1" readingOrder="1"/>
      <protection locked="0"/>
    </xf>
    <xf numFmtId="0" fontId="5" fillId="9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1" xfId="0" applyFont="1" applyBorder="1" applyAlignment="1" applyProtection="1">
      <alignment horizontal="center" vertical="top" wrapText="1" readingOrder="1"/>
      <protection locked="0"/>
    </xf>
    <xf numFmtId="0" fontId="5" fillId="0" borderId="22" xfId="0" applyFont="1" applyBorder="1" applyAlignment="1" applyProtection="1">
      <alignment horizontal="center" vertical="top" wrapText="1" readingOrder="1"/>
      <protection locked="0"/>
    </xf>
    <xf numFmtId="0" fontId="5" fillId="0" borderId="11" xfId="0" applyFont="1" applyBorder="1" applyAlignment="1" applyProtection="1">
      <alignment horizontal="left" vertical="top" wrapText="1" readingOrder="1"/>
      <protection locked="0"/>
    </xf>
    <xf numFmtId="0" fontId="5" fillId="0" borderId="16" xfId="0" applyFont="1" applyBorder="1" applyAlignment="1" applyProtection="1">
      <alignment horizontal="left" vertical="top" wrapText="1" readingOrder="1"/>
      <protection locked="0"/>
    </xf>
    <xf numFmtId="0" fontId="5" fillId="0" borderId="10" xfId="0" applyFont="1" applyBorder="1" applyAlignment="1" applyProtection="1">
      <alignment horizontal="left" vertical="top" wrapText="1" readingOrder="1"/>
      <protection locked="0"/>
    </xf>
    <xf numFmtId="0" fontId="5" fillId="0" borderId="15" xfId="0" applyFont="1" applyBorder="1" applyAlignment="1" applyProtection="1">
      <alignment horizontal="left" vertical="top" wrapText="1" readingOrder="1"/>
      <protection locked="0"/>
    </xf>
    <xf numFmtId="0" fontId="5" fillId="0" borderId="31" xfId="0" applyFont="1" applyBorder="1" applyAlignment="1" applyProtection="1">
      <alignment horizontal="center" vertical="top" wrapText="1" readingOrder="1"/>
      <protection locked="0"/>
    </xf>
    <xf numFmtId="0" fontId="5" fillId="0" borderId="29" xfId="0" applyFont="1" applyBorder="1" applyAlignment="1" applyProtection="1">
      <alignment horizontal="center" vertical="top" wrapText="1" readingOrder="1"/>
      <protection locked="0"/>
    </xf>
    <xf numFmtId="0" fontId="5" fillId="0" borderId="17" xfId="0" applyFont="1" applyBorder="1" applyAlignment="1" applyProtection="1">
      <alignment horizontal="center" vertical="top" wrapText="1" readingOrder="1"/>
      <protection locked="0"/>
    </xf>
    <xf numFmtId="0" fontId="5" fillId="0" borderId="17" xfId="0" applyFont="1" applyBorder="1" applyAlignment="1" applyProtection="1">
      <alignment horizontal="left" vertical="top" wrapText="1" readingOrder="1"/>
      <protection locked="0"/>
    </xf>
    <xf numFmtId="2" fontId="5" fillId="0" borderId="17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22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11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52" xfId="0" applyFont="1" applyBorder="1" applyAlignment="1" applyProtection="1">
      <alignment horizontal="center" vertical="top" wrapText="1" readingOrder="1"/>
      <protection locked="0"/>
    </xf>
    <xf numFmtId="0" fontId="5" fillId="0" borderId="28" xfId="0" applyFont="1" applyBorder="1" applyAlignment="1" applyProtection="1">
      <alignment horizontal="center" vertical="top" wrapText="1" readingOrder="1"/>
      <protection locked="0"/>
    </xf>
    <xf numFmtId="0" fontId="5" fillId="0" borderId="28" xfId="0" applyFont="1" applyBorder="1" applyAlignment="1" applyProtection="1">
      <alignment horizontal="left" vertical="top" wrapText="1" readingOrder="1"/>
      <protection locked="0"/>
    </xf>
    <xf numFmtId="2" fontId="5" fillId="0" borderId="28" xfId="0" applyNumberFormat="1" applyFont="1" applyBorder="1" applyAlignment="1">
      <alignment horizontal="center" vertical="top" wrapText="1" readingOrder="1"/>
    </xf>
    <xf numFmtId="2" fontId="5" fillId="0" borderId="28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1" xfId="0" applyFont="1" applyBorder="1" applyAlignment="1" applyProtection="1">
      <alignment horizontal="left" vertical="top" wrapText="1" readingOrder="1"/>
      <protection locked="0"/>
    </xf>
    <xf numFmtId="0" fontId="5" fillId="0" borderId="17" xfId="0" applyFont="1" applyBorder="1" applyAlignment="1" applyProtection="1">
      <alignment horizontal="center" vertical="top" wrapText="1" readingOrder="1"/>
      <protection locked="0"/>
    </xf>
    <xf numFmtId="0" fontId="5" fillId="0" borderId="28" xfId="0" applyFont="1" applyBorder="1" applyAlignment="1" applyProtection="1">
      <alignment horizontal="center" vertical="top" wrapText="1" readingOrder="1"/>
      <protection locked="0"/>
    </xf>
    <xf numFmtId="2" fontId="5" fillId="0" borderId="11" xfId="0" applyNumberFormat="1" applyFont="1" applyBorder="1" applyAlignment="1">
      <alignment horizontal="center" vertical="top" wrapText="1" readingOrder="1"/>
    </xf>
    <xf numFmtId="2" fontId="5" fillId="0" borderId="28" xfId="0" applyNumberFormat="1" applyFont="1" applyBorder="1" applyAlignment="1">
      <alignment horizontal="center" vertical="top" wrapText="1" readingOrder="1"/>
    </xf>
    <xf numFmtId="0" fontId="5" fillId="0" borderId="11" xfId="0" applyFont="1" applyBorder="1" applyAlignment="1" applyProtection="1">
      <alignment horizontal="center" vertical="top" wrapText="1" readingOrder="1"/>
      <protection locked="0"/>
    </xf>
    <xf numFmtId="2" fontId="5" fillId="0" borderId="17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28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28" xfId="0" applyFont="1" applyBorder="1" applyAlignment="1" applyProtection="1">
      <alignment horizontal="left" vertical="top" wrapText="1" readingOrder="1"/>
      <protection locked="0"/>
    </xf>
    <xf numFmtId="0" fontId="5" fillId="0" borderId="31" xfId="0" applyFont="1" applyBorder="1" applyAlignment="1" applyProtection="1">
      <alignment horizontal="center" vertical="top" wrapText="1" readingOrder="1"/>
      <protection locked="0"/>
    </xf>
    <xf numFmtId="0" fontId="5" fillId="0" borderId="52" xfId="0" applyFont="1" applyBorder="1" applyAlignment="1" applyProtection="1">
      <alignment horizontal="center" vertical="top" wrapText="1" readingOrder="1"/>
      <protection locked="0"/>
    </xf>
    <xf numFmtId="0" fontId="5" fillId="0" borderId="17" xfId="0" applyFont="1" applyBorder="1" applyAlignment="1" applyProtection="1">
      <alignment horizontal="left" vertical="top" wrapText="1" readingOrder="1"/>
      <protection locked="0"/>
    </xf>
    <xf numFmtId="2" fontId="5" fillId="0" borderId="11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29" xfId="0" applyFont="1" applyBorder="1" applyAlignment="1" applyProtection="1">
      <alignment horizontal="center" vertical="top" wrapText="1" readingOrder="1"/>
      <protection locked="0"/>
    </xf>
    <xf numFmtId="0" fontId="5" fillId="0" borderId="10" xfId="0" applyFont="1" applyBorder="1" applyAlignment="1" applyProtection="1">
      <alignment horizontal="left" vertical="top" wrapText="1" readingOrder="1"/>
      <protection locked="0"/>
    </xf>
    <xf numFmtId="2" fontId="5" fillId="9" borderId="11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0" borderId="57" xfId="0" applyFont="1" applyBorder="1" applyAlignment="1" applyProtection="1">
      <alignment horizontal="left" vertical="top" wrapText="1" readingOrder="1"/>
      <protection locked="0"/>
    </xf>
    <xf numFmtId="0" fontId="5" fillId="0" borderId="58" xfId="0" applyFont="1" applyBorder="1" applyAlignment="1" applyProtection="1">
      <alignment horizontal="left" vertical="top" wrapText="1" readingOrder="1"/>
      <protection locked="0"/>
    </xf>
    <xf numFmtId="0" fontId="5" fillId="0" borderId="58" xfId="0" applyFont="1" applyBorder="1" applyAlignment="1" applyProtection="1">
      <alignment horizontal="center" vertical="top" wrapText="1" readingOrder="1"/>
      <protection locked="0"/>
    </xf>
    <xf numFmtId="2" fontId="5" fillId="0" borderId="58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59" xfId="0" applyFont="1" applyBorder="1" applyAlignment="1" applyProtection="1">
      <alignment horizontal="center" vertical="top" wrapText="1" readingOrder="1"/>
      <protection locked="0"/>
    </xf>
    <xf numFmtId="0" fontId="5" fillId="3" borderId="10" xfId="0" applyFont="1" applyFill="1" applyBorder="1" applyAlignment="1" applyProtection="1">
      <alignment horizontal="left" vertical="top" wrapText="1" readingOrder="1"/>
      <protection locked="0"/>
    </xf>
    <xf numFmtId="2" fontId="5" fillId="3" borderId="11" xfId="0" applyNumberFormat="1" applyFont="1" applyFill="1" applyBorder="1" applyAlignment="1">
      <alignment horizontal="center" vertical="top" wrapText="1" readingOrder="1"/>
    </xf>
    <xf numFmtId="0" fontId="5" fillId="9" borderId="64" xfId="0" applyFont="1" applyFill="1" applyBorder="1" applyAlignment="1" applyProtection="1">
      <alignment vertical="top" wrapText="1" readingOrder="1"/>
      <protection locked="0"/>
    </xf>
    <xf numFmtId="0" fontId="5" fillId="0" borderId="64" xfId="0" applyFont="1" applyBorder="1" applyAlignment="1" applyProtection="1">
      <alignment horizontal="center" vertical="top" wrapText="1" readingOrder="1"/>
      <protection locked="0"/>
    </xf>
    <xf numFmtId="0" fontId="5" fillId="9" borderId="66" xfId="0" applyFont="1" applyFill="1" applyBorder="1" applyAlignment="1" applyProtection="1">
      <alignment vertical="top" wrapText="1" readingOrder="1"/>
      <protection locked="0"/>
    </xf>
    <xf numFmtId="0" fontId="5" fillId="0" borderId="66" xfId="0" applyFont="1" applyBorder="1" applyAlignment="1" applyProtection="1">
      <alignment horizontal="center" vertical="top" wrapText="1" readingOrder="1"/>
      <protection locked="0"/>
    </xf>
    <xf numFmtId="0" fontId="5" fillId="0" borderId="67" xfId="0" applyFont="1" applyBorder="1" applyAlignment="1" applyProtection="1">
      <alignment horizontal="center" vertical="top" wrapText="1" readingOrder="1"/>
      <protection locked="0"/>
    </xf>
    <xf numFmtId="0" fontId="5" fillId="0" borderId="69" xfId="0" applyFont="1" applyBorder="1" applyAlignment="1" applyProtection="1">
      <alignment horizontal="center" vertical="top" wrapText="1" readingOrder="1"/>
      <protection locked="0"/>
    </xf>
    <xf numFmtId="0" fontId="5" fillId="9" borderId="71" xfId="0" applyFont="1" applyFill="1" applyBorder="1" applyAlignment="1" applyProtection="1">
      <alignment vertical="top" wrapText="1" readingOrder="1"/>
      <protection locked="0"/>
    </xf>
    <xf numFmtId="0" fontId="5" fillId="0" borderId="71" xfId="0" applyFont="1" applyBorder="1" applyAlignment="1" applyProtection="1">
      <alignment horizontal="center" vertical="top" wrapText="1" readingOrder="1"/>
      <protection locked="0"/>
    </xf>
    <xf numFmtId="0" fontId="5" fillId="0" borderId="72" xfId="0" applyFont="1" applyBorder="1" applyAlignment="1" applyProtection="1">
      <alignment horizontal="center" vertical="top" wrapText="1" readingOrder="1"/>
      <protection locked="0"/>
    </xf>
    <xf numFmtId="0" fontId="5" fillId="4" borderId="10" xfId="0" applyFont="1" applyFill="1" applyBorder="1" applyAlignment="1" applyProtection="1">
      <alignment horizontal="left" vertical="top" wrapText="1" readingOrder="1"/>
      <protection locked="0"/>
    </xf>
    <xf numFmtId="2" fontId="5" fillId="4" borderId="11" xfId="0" applyNumberFormat="1" applyFont="1" applyFill="1" applyBorder="1" applyAlignment="1">
      <alignment horizontal="center" vertical="top" wrapText="1" readingOrder="1"/>
    </xf>
    <xf numFmtId="0" fontId="5" fillId="3" borderId="73" xfId="0" applyFont="1" applyFill="1" applyBorder="1" applyAlignment="1" applyProtection="1">
      <alignment horizontal="left" vertical="top" wrapText="1" readingOrder="1"/>
      <protection locked="0"/>
    </xf>
    <xf numFmtId="2" fontId="5" fillId="3" borderId="74" xfId="0" applyNumberFormat="1" applyFont="1" applyFill="1" applyBorder="1" applyAlignment="1">
      <alignment horizontal="center" vertical="top" wrapText="1" readingOrder="1"/>
    </xf>
    <xf numFmtId="0" fontId="5" fillId="0" borderId="21" xfId="0" applyFont="1" applyBorder="1" applyAlignment="1" applyProtection="1">
      <alignment vertical="top" wrapText="1" readingOrder="1"/>
      <protection locked="0"/>
    </xf>
    <xf numFmtId="0" fontId="5" fillId="0" borderId="21" xfId="0" applyFont="1" applyBorder="1" applyAlignment="1" applyProtection="1">
      <alignment horizontal="center" vertical="top" wrapText="1" readingOrder="1"/>
      <protection locked="0"/>
    </xf>
    <xf numFmtId="0" fontId="5" fillId="0" borderId="22" xfId="0" applyFont="1" applyBorder="1" applyAlignment="1" applyProtection="1">
      <alignment vertical="top" wrapText="1" readingOrder="1"/>
      <protection locked="0"/>
    </xf>
    <xf numFmtId="0" fontId="5" fillId="9" borderId="28" xfId="0" applyFont="1" applyFill="1" applyBorder="1" applyAlignment="1" applyProtection="1">
      <alignment horizontal="center" vertical="top" wrapText="1" readingOrder="1"/>
      <protection locked="0"/>
    </xf>
    <xf numFmtId="0" fontId="5" fillId="9" borderId="52" xfId="0" applyFont="1" applyFill="1" applyBorder="1" applyAlignment="1" applyProtection="1">
      <alignment horizontal="center" vertical="top" wrapText="1" readingOrder="1"/>
      <protection locked="0"/>
    </xf>
    <xf numFmtId="0" fontId="5" fillId="0" borderId="57" xfId="0" applyFont="1" applyBorder="1" applyAlignment="1" applyProtection="1">
      <alignment vertical="top" wrapText="1" readingOrder="1"/>
      <protection locked="0"/>
    </xf>
    <xf numFmtId="0" fontId="5" fillId="0" borderId="58" xfId="0" applyFont="1" applyBorder="1" applyAlignment="1" applyProtection="1">
      <alignment vertical="top" wrapText="1" readingOrder="1"/>
      <protection locked="0"/>
    </xf>
    <xf numFmtId="0" fontId="5" fillId="0" borderId="64" xfId="0" applyFont="1" applyBorder="1" applyAlignment="1" applyProtection="1">
      <alignment horizontal="left" vertical="top" wrapText="1" readingOrder="1"/>
      <protection locked="0"/>
    </xf>
    <xf numFmtId="0" fontId="5" fillId="0" borderId="73" xfId="0" applyFont="1" applyBorder="1" applyAlignment="1" applyProtection="1">
      <alignment vertical="top" wrapText="1" readingOrder="1"/>
      <protection locked="0"/>
    </xf>
    <xf numFmtId="0" fontId="5" fillId="0" borderId="74" xfId="0" applyFont="1" applyBorder="1" applyAlignment="1" applyProtection="1">
      <alignment vertical="top" wrapText="1" readingOrder="1"/>
      <protection locked="0"/>
    </xf>
    <xf numFmtId="0" fontId="3" fillId="0" borderId="74" xfId="0" applyFont="1" applyBorder="1" applyAlignment="1" applyProtection="1">
      <alignment vertical="top" wrapText="1" readingOrder="1"/>
      <protection locked="0"/>
    </xf>
    <xf numFmtId="0" fontId="5" fillId="0" borderId="74" xfId="0" applyFont="1" applyBorder="1" applyAlignment="1" applyProtection="1">
      <alignment horizontal="center" vertical="top" wrapText="1" readingOrder="1"/>
      <protection locked="0"/>
    </xf>
    <xf numFmtId="2" fontId="5" fillId="0" borderId="74" xfId="0" applyNumberFormat="1" applyFont="1" applyBorder="1" applyAlignment="1">
      <alignment horizontal="center" vertical="top" wrapText="1" readingOrder="1"/>
    </xf>
    <xf numFmtId="0" fontId="5" fillId="0" borderId="74" xfId="0" applyFont="1" applyBorder="1" applyAlignment="1" applyProtection="1">
      <alignment horizontal="left" vertical="top" wrapText="1" readingOrder="1"/>
      <protection locked="0"/>
    </xf>
    <xf numFmtId="0" fontId="5" fillId="9" borderId="74" xfId="0" applyFont="1" applyFill="1" applyBorder="1" applyAlignment="1" applyProtection="1">
      <alignment horizontal="center" vertical="top" wrapText="1" readingOrder="1"/>
      <protection locked="0"/>
    </xf>
    <xf numFmtId="0" fontId="5" fillId="9" borderId="75" xfId="0" applyFont="1" applyFill="1" applyBorder="1" applyAlignment="1" applyProtection="1">
      <alignment horizontal="center" vertical="top" wrapText="1" readingOrder="1"/>
      <protection locked="0"/>
    </xf>
    <xf numFmtId="2" fontId="5" fillId="0" borderId="6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73" xfId="0" applyFont="1" applyBorder="1" applyAlignment="1" applyProtection="1">
      <alignment horizontal="left" vertical="top" wrapText="1" readingOrder="1"/>
      <protection locked="0"/>
    </xf>
    <xf numFmtId="2" fontId="5" fillId="0" borderId="7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75" xfId="0" applyFont="1" applyBorder="1" applyAlignment="1" applyProtection="1">
      <alignment horizontal="center" vertical="top" wrapText="1" readingOrder="1"/>
      <protection locked="0"/>
    </xf>
    <xf numFmtId="2" fontId="5" fillId="0" borderId="22" xfId="0" applyNumberFormat="1" applyFont="1" applyBorder="1" applyAlignment="1" applyProtection="1">
      <alignment vertical="top" wrapText="1" readingOrder="1"/>
      <protection locked="0"/>
    </xf>
    <xf numFmtId="0" fontId="5" fillId="0" borderId="66" xfId="0" applyFont="1" applyBorder="1" applyAlignment="1" applyProtection="1">
      <alignment horizontal="left" vertical="top" wrapText="1" readingOrder="1"/>
      <protection locked="0"/>
    </xf>
    <xf numFmtId="0" fontId="5" fillId="0" borderId="71" xfId="0" applyFont="1" applyBorder="1" applyAlignment="1" applyProtection="1">
      <alignment horizontal="left" vertical="top" wrapText="1" readingOrder="1"/>
      <protection locked="0"/>
    </xf>
    <xf numFmtId="0" fontId="5" fillId="0" borderId="76" xfId="0" applyFont="1" applyBorder="1" applyAlignment="1" applyProtection="1">
      <alignment horizontal="center" vertical="top" wrapText="1" readingOrder="1"/>
      <protection locked="0"/>
    </xf>
    <xf numFmtId="0" fontId="5" fillId="4" borderId="34" xfId="0" applyFont="1" applyFill="1" applyBorder="1" applyAlignment="1" applyProtection="1">
      <alignment horizontal="left" vertical="top" wrapText="1" readingOrder="1"/>
      <protection locked="0"/>
    </xf>
    <xf numFmtId="2" fontId="5" fillId="4" borderId="28" xfId="0" applyNumberFormat="1" applyFont="1" applyFill="1" applyBorder="1" applyAlignment="1">
      <alignment horizontal="center" vertical="top" wrapText="1" readingOrder="1"/>
    </xf>
    <xf numFmtId="2" fontId="5" fillId="3" borderId="28" xfId="0" applyNumberFormat="1" applyFont="1" applyFill="1" applyBorder="1" applyAlignment="1">
      <alignment horizontal="center" vertical="top" wrapText="1" readingOrder="1"/>
    </xf>
    <xf numFmtId="2" fontId="5" fillId="0" borderId="74" xfId="0" applyNumberFormat="1" applyFont="1" applyBorder="1" applyAlignment="1" applyProtection="1">
      <alignment vertical="top" wrapText="1" readingOrder="1"/>
      <protection locked="0"/>
    </xf>
    <xf numFmtId="2" fontId="5" fillId="0" borderId="58" xfId="0" applyNumberFormat="1" applyFont="1" applyBorder="1" applyAlignment="1" applyProtection="1">
      <alignment vertical="top" wrapText="1" readingOrder="1"/>
      <protection locked="0"/>
    </xf>
    <xf numFmtId="2" fontId="5" fillId="0" borderId="66" xfId="0" applyNumberFormat="1" applyFont="1" applyBorder="1" applyAlignment="1">
      <alignment horizontal="center" vertical="top" wrapText="1" readingOrder="1"/>
    </xf>
    <xf numFmtId="2" fontId="5" fillId="0" borderId="71" xfId="0" applyNumberFormat="1" applyFont="1" applyBorder="1" applyAlignment="1" applyProtection="1">
      <alignment horizontal="center" vertical="top" wrapText="1" readingOrder="1"/>
      <protection locked="0"/>
    </xf>
    <xf numFmtId="0" fontId="5" fillId="9" borderId="40" xfId="0" applyFont="1" applyFill="1" applyBorder="1" applyAlignment="1" applyProtection="1">
      <alignment horizontal="center" vertical="top" wrapText="1" readingOrder="1"/>
      <protection locked="0"/>
    </xf>
    <xf numFmtId="0" fontId="5" fillId="9" borderId="53" xfId="0" applyFont="1" applyFill="1" applyBorder="1" applyAlignment="1" applyProtection="1">
      <alignment horizontal="center" vertical="top" wrapText="1" readingOrder="1"/>
      <protection locked="0"/>
    </xf>
    <xf numFmtId="0" fontId="5" fillId="9" borderId="50" xfId="0" applyFont="1" applyFill="1" applyBorder="1" applyAlignment="1" applyProtection="1">
      <alignment horizontal="center" vertical="top" wrapText="1" readingOrder="1"/>
      <protection locked="0"/>
    </xf>
    <xf numFmtId="0" fontId="5" fillId="9" borderId="54" xfId="0" applyFont="1" applyFill="1" applyBorder="1" applyAlignment="1" applyProtection="1">
      <alignment horizontal="center" vertical="top" wrapText="1" readingOrder="1"/>
      <protection locked="0"/>
    </xf>
    <xf numFmtId="0" fontId="5" fillId="4" borderId="57" xfId="0" applyFont="1" applyFill="1" applyBorder="1" applyAlignment="1" applyProtection="1">
      <alignment horizontal="left" vertical="top" wrapText="1" readingOrder="1"/>
      <protection locked="0"/>
    </xf>
    <xf numFmtId="2" fontId="5" fillId="4" borderId="58" xfId="0" applyNumberFormat="1" applyFont="1" applyFill="1" applyBorder="1" applyAlignment="1">
      <alignment horizontal="center" vertical="top" wrapText="1" readingOrder="1"/>
    </xf>
    <xf numFmtId="0" fontId="5" fillId="8" borderId="55" xfId="0" applyFont="1" applyFill="1" applyBorder="1" applyAlignment="1" applyProtection="1">
      <alignment horizontal="center" vertical="top" wrapText="1" readingOrder="1"/>
      <protection locked="0"/>
    </xf>
    <xf numFmtId="0" fontId="5" fillId="3" borderId="57" xfId="0" applyFont="1" applyFill="1" applyBorder="1" applyAlignment="1" applyProtection="1">
      <alignment horizontal="left" vertical="top" wrapText="1" readingOrder="1"/>
      <protection locked="0"/>
    </xf>
    <xf numFmtId="2" fontId="5" fillId="3" borderId="58" xfId="0" applyNumberFormat="1" applyFont="1" applyFill="1" applyBorder="1" applyAlignment="1">
      <alignment horizontal="center" vertical="top" wrapText="1" readingOrder="1"/>
    </xf>
    <xf numFmtId="0" fontId="5" fillId="9" borderId="10" xfId="0" applyFont="1" applyFill="1" applyBorder="1" applyAlignment="1" applyProtection="1">
      <alignment horizontal="left" vertical="top" wrapText="1" readingOrder="1"/>
      <protection locked="0"/>
    </xf>
    <xf numFmtId="0" fontId="5" fillId="9" borderId="11" xfId="0" applyFont="1" applyFill="1" applyBorder="1" applyAlignment="1" applyProtection="1">
      <alignment horizontal="left" vertical="top" wrapText="1" readingOrder="1"/>
      <protection locked="0"/>
    </xf>
    <xf numFmtId="0" fontId="3" fillId="9" borderId="11" xfId="0" applyFont="1" applyFill="1" applyBorder="1" applyAlignment="1" applyProtection="1">
      <alignment horizontal="left" vertical="top" wrapText="1" readingOrder="1"/>
      <protection locked="0"/>
    </xf>
    <xf numFmtId="0" fontId="5" fillId="9" borderId="11" xfId="0" applyFont="1" applyFill="1" applyBorder="1" applyAlignment="1" applyProtection="1">
      <alignment horizontal="center" vertical="top" wrapText="1" readingOrder="1"/>
      <protection locked="0"/>
    </xf>
    <xf numFmtId="0" fontId="5" fillId="9" borderId="31" xfId="0" applyFont="1" applyFill="1" applyBorder="1" applyAlignment="1" applyProtection="1">
      <alignment horizontal="center" vertical="top" wrapText="1" readingOrder="1"/>
      <protection locked="0"/>
    </xf>
    <xf numFmtId="0" fontId="5" fillId="0" borderId="11" xfId="0" applyFont="1" applyFill="1" applyBorder="1" applyAlignment="1" applyProtection="1">
      <alignment horizontal="center" vertical="top" wrapText="1" readingOrder="1"/>
      <protection locked="0"/>
    </xf>
    <xf numFmtId="0" fontId="5" fillId="0" borderId="31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5" xfId="0" applyFont="1" applyFill="1" applyBorder="1" applyAlignment="1" applyProtection="1">
      <alignment horizontal="center" vertical="top" wrapText="1" readingOrder="1"/>
      <protection locked="0"/>
    </xf>
    <xf numFmtId="2" fontId="5" fillId="0" borderId="5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0" borderId="6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0" borderId="7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3" borderId="24" xfId="0" applyFont="1" applyFill="1" applyBorder="1" applyAlignment="1" applyProtection="1">
      <alignment horizontal="left" vertical="top" wrapText="1" readingOrder="1"/>
      <protection locked="0"/>
    </xf>
    <xf numFmtId="0" fontId="5" fillId="3" borderId="25" xfId="0" applyFont="1" applyFill="1" applyBorder="1" applyAlignment="1" applyProtection="1">
      <alignment horizontal="left" vertical="top" wrapText="1" readingOrder="1"/>
      <protection locked="0"/>
    </xf>
    <xf numFmtId="0" fontId="5" fillId="3" borderId="26" xfId="0" applyFont="1" applyFill="1" applyBorder="1" applyAlignment="1" applyProtection="1">
      <alignment horizontal="left" vertical="top" wrapText="1" readingOrder="1"/>
      <protection locked="0"/>
    </xf>
    <xf numFmtId="0" fontId="5" fillId="4" borderId="24" xfId="0" applyFont="1" applyFill="1" applyBorder="1" applyAlignment="1" applyProtection="1">
      <alignment horizontal="center" vertical="top" wrapText="1" readingOrder="1"/>
      <protection locked="0"/>
    </xf>
    <xf numFmtId="0" fontId="5" fillId="4" borderId="25" xfId="0" applyFont="1" applyFill="1" applyBorder="1" applyAlignment="1" applyProtection="1">
      <alignment horizontal="center" vertical="top" wrapText="1" readingOrder="1"/>
      <protection locked="0"/>
    </xf>
    <xf numFmtId="0" fontId="5" fillId="4" borderId="27" xfId="0" applyFont="1" applyFill="1" applyBorder="1" applyAlignment="1" applyProtection="1">
      <alignment horizontal="center" vertical="top" wrapText="1" readingOrder="1"/>
      <protection locked="0"/>
    </xf>
    <xf numFmtId="0" fontId="5" fillId="3" borderId="24" xfId="0" applyFont="1" applyFill="1" applyBorder="1" applyAlignment="1" applyProtection="1">
      <alignment horizontal="center" vertical="top" wrapText="1" readingOrder="1"/>
      <protection locked="0"/>
    </xf>
    <xf numFmtId="0" fontId="5" fillId="3" borderId="25" xfId="0" applyFont="1" applyFill="1" applyBorder="1" applyAlignment="1" applyProtection="1">
      <alignment horizontal="center" vertical="top" wrapText="1" readingOrder="1"/>
      <protection locked="0"/>
    </xf>
    <xf numFmtId="0" fontId="5" fillId="3" borderId="27" xfId="0" applyFont="1" applyFill="1" applyBorder="1" applyAlignment="1" applyProtection="1">
      <alignment horizontal="center" vertical="top" wrapText="1" readingOrder="1"/>
      <protection locked="0"/>
    </xf>
    <xf numFmtId="0" fontId="5" fillId="4" borderId="24" xfId="0" applyFont="1" applyFill="1" applyBorder="1" applyAlignment="1" applyProtection="1">
      <alignment horizontal="left" vertical="top" wrapText="1" readingOrder="1"/>
      <protection locked="0"/>
    </xf>
    <xf numFmtId="0" fontId="5" fillId="4" borderId="25" xfId="0" applyFont="1" applyFill="1" applyBorder="1" applyAlignment="1" applyProtection="1">
      <alignment horizontal="left" vertical="top" wrapText="1" readingOrder="1"/>
      <protection locked="0"/>
    </xf>
    <xf numFmtId="0" fontId="5" fillId="4" borderId="26" xfId="0" applyFont="1" applyFill="1" applyBorder="1" applyAlignment="1" applyProtection="1">
      <alignment horizontal="left" vertical="top" wrapText="1" readingOrder="1"/>
      <protection locked="0"/>
    </xf>
    <xf numFmtId="0" fontId="5" fillId="0" borderId="16" xfId="0" applyFont="1" applyBorder="1" applyAlignment="1" applyProtection="1">
      <alignment horizontal="center" vertical="top" wrapText="1" readingOrder="1"/>
      <protection locked="0"/>
    </xf>
    <xf numFmtId="0" fontId="5" fillId="0" borderId="22" xfId="0" applyFont="1" applyBorder="1" applyAlignment="1" applyProtection="1">
      <alignment horizontal="center" vertical="top" wrapText="1" readingOrder="1"/>
      <protection locked="0"/>
    </xf>
    <xf numFmtId="0" fontId="5" fillId="3" borderId="77" xfId="0" applyFont="1" applyFill="1" applyBorder="1" applyAlignment="1" applyProtection="1">
      <alignment horizontal="left" vertical="top" wrapText="1" readingOrder="1"/>
      <protection locked="0"/>
    </xf>
    <xf numFmtId="0" fontId="5" fillId="3" borderId="78" xfId="0" applyFont="1" applyFill="1" applyBorder="1" applyAlignment="1" applyProtection="1">
      <alignment horizontal="left" vertical="top" wrapText="1" readingOrder="1"/>
      <protection locked="0"/>
    </xf>
    <xf numFmtId="0" fontId="5" fillId="3" borderId="79" xfId="0" applyFont="1" applyFill="1" applyBorder="1" applyAlignment="1" applyProtection="1">
      <alignment horizontal="left" vertical="top" wrapText="1" readingOrder="1"/>
      <protection locked="0"/>
    </xf>
    <xf numFmtId="0" fontId="5" fillId="3" borderId="77" xfId="0" applyFont="1" applyFill="1" applyBorder="1" applyAlignment="1" applyProtection="1">
      <alignment horizontal="center" vertical="top" wrapText="1" readingOrder="1"/>
      <protection locked="0"/>
    </xf>
    <xf numFmtId="0" fontId="5" fillId="3" borderId="78" xfId="0" applyFont="1" applyFill="1" applyBorder="1" applyAlignment="1" applyProtection="1">
      <alignment horizontal="center" vertical="top" wrapText="1" readingOrder="1"/>
      <protection locked="0"/>
    </xf>
    <xf numFmtId="0" fontId="5" fillId="3" borderId="80" xfId="0" applyFont="1" applyFill="1" applyBorder="1" applyAlignment="1" applyProtection="1">
      <alignment horizontal="center" vertical="top" wrapText="1" readingOrder="1"/>
      <protection locked="0"/>
    </xf>
    <xf numFmtId="0" fontId="5" fillId="0" borderId="16" xfId="0" applyFont="1" applyBorder="1" applyAlignment="1" applyProtection="1">
      <alignment horizontal="left" vertical="top" wrapText="1" readingOrder="1"/>
      <protection locked="0"/>
    </xf>
    <xf numFmtId="0" fontId="5" fillId="0" borderId="22" xfId="0" applyFont="1" applyBorder="1" applyAlignment="1" applyProtection="1">
      <alignment horizontal="left" vertical="top" wrapText="1" readingOrder="1"/>
      <protection locked="0"/>
    </xf>
    <xf numFmtId="0" fontId="5" fillId="0" borderId="17" xfId="0" applyFont="1" applyBorder="1" applyAlignment="1" applyProtection="1">
      <alignment horizontal="center" vertical="top" wrapText="1" readingOrder="1"/>
      <protection locked="0"/>
    </xf>
    <xf numFmtId="0" fontId="5" fillId="0" borderId="28" xfId="0" applyFont="1" applyBorder="1" applyAlignment="1" applyProtection="1">
      <alignment horizontal="center" vertical="top" wrapText="1" readingOrder="1"/>
      <protection locked="0"/>
    </xf>
    <xf numFmtId="2" fontId="5" fillId="0" borderId="16" xfId="0" applyNumberFormat="1" applyFont="1" applyBorder="1" applyAlignment="1">
      <alignment horizontal="center" vertical="top" wrapText="1" readingOrder="1"/>
    </xf>
    <xf numFmtId="2" fontId="5" fillId="0" borderId="28" xfId="0" applyNumberFormat="1" applyFont="1" applyBorder="1" applyAlignment="1">
      <alignment horizontal="center" vertical="top" wrapText="1" readingOrder="1"/>
    </xf>
    <xf numFmtId="2" fontId="5" fillId="0" borderId="17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28" xfId="0" applyNumberFormat="1" applyFont="1" applyBorder="1" applyAlignment="1" applyProtection="1">
      <alignment horizontal="center" vertical="top" wrapText="1" readingOrder="1"/>
      <protection locked="0"/>
    </xf>
    <xf numFmtId="0" fontId="5" fillId="3" borderId="74" xfId="0" applyFont="1" applyFill="1" applyBorder="1" applyAlignment="1" applyProtection="1">
      <alignment horizontal="center" vertical="top" wrapText="1" readingOrder="1"/>
      <protection locked="0"/>
    </xf>
    <xf numFmtId="0" fontId="5" fillId="3" borderId="75" xfId="0" applyFont="1" applyFill="1" applyBorder="1" applyAlignment="1" applyProtection="1">
      <alignment horizontal="center" vertical="top" wrapText="1" readingOrder="1"/>
      <protection locked="0"/>
    </xf>
    <xf numFmtId="0" fontId="5" fillId="3" borderId="60" xfId="0" applyFont="1" applyFill="1" applyBorder="1" applyAlignment="1" applyProtection="1">
      <alignment horizontal="left" vertical="top" wrapText="1" readingOrder="1"/>
      <protection locked="0"/>
    </xf>
    <xf numFmtId="0" fontId="5" fillId="3" borderId="61" xfId="0" applyFont="1" applyFill="1" applyBorder="1" applyAlignment="1" applyProtection="1">
      <alignment horizontal="left" vertical="top" wrapText="1" readingOrder="1"/>
      <protection locked="0"/>
    </xf>
    <xf numFmtId="0" fontId="5" fillId="3" borderId="62" xfId="0" applyFont="1" applyFill="1" applyBorder="1" applyAlignment="1" applyProtection="1">
      <alignment horizontal="left" vertical="top" wrapText="1" readingOrder="1"/>
      <protection locked="0"/>
    </xf>
    <xf numFmtId="0" fontId="5" fillId="3" borderId="60" xfId="0" applyFont="1" applyFill="1" applyBorder="1" applyAlignment="1" applyProtection="1">
      <alignment horizontal="center" vertical="top" wrapText="1" readingOrder="1"/>
      <protection locked="0"/>
    </xf>
    <xf numFmtId="0" fontId="5" fillId="3" borderId="61" xfId="0" applyFont="1" applyFill="1" applyBorder="1" applyAlignment="1" applyProtection="1">
      <alignment horizontal="center" vertical="top" wrapText="1" readingOrder="1"/>
      <protection locked="0"/>
    </xf>
    <xf numFmtId="0" fontId="5" fillId="3" borderId="63" xfId="0" applyFont="1" applyFill="1" applyBorder="1" applyAlignment="1" applyProtection="1">
      <alignment horizontal="center" vertical="top" wrapText="1" readingOrder="1"/>
      <protection locked="0"/>
    </xf>
    <xf numFmtId="0" fontId="5" fillId="3" borderId="35" xfId="0" applyFont="1" applyFill="1" applyBorder="1" applyAlignment="1" applyProtection="1">
      <alignment horizontal="left" vertical="top" wrapText="1" readingOrder="1"/>
      <protection locked="0"/>
    </xf>
    <xf numFmtId="0" fontId="5" fillId="3" borderId="36" xfId="0" applyFont="1" applyFill="1" applyBorder="1" applyAlignment="1" applyProtection="1">
      <alignment horizontal="left" vertical="top" wrapText="1" readingOrder="1"/>
      <protection locked="0"/>
    </xf>
    <xf numFmtId="0" fontId="5" fillId="3" borderId="33" xfId="0" applyFont="1" applyFill="1" applyBorder="1" applyAlignment="1" applyProtection="1">
      <alignment horizontal="left" vertical="top" wrapText="1" readingOrder="1"/>
      <protection locked="0"/>
    </xf>
    <xf numFmtId="0" fontId="5" fillId="3" borderId="35" xfId="0" applyFont="1" applyFill="1" applyBorder="1" applyAlignment="1" applyProtection="1">
      <alignment horizontal="center" vertical="top" wrapText="1" readingOrder="1"/>
      <protection locked="0"/>
    </xf>
    <xf numFmtId="0" fontId="5" fillId="3" borderId="36" xfId="0" applyFont="1" applyFill="1" applyBorder="1" applyAlignment="1" applyProtection="1">
      <alignment horizontal="center" vertical="top" wrapText="1" readingOrder="1"/>
      <protection locked="0"/>
    </xf>
    <xf numFmtId="0" fontId="5" fillId="3" borderId="37" xfId="0" applyFont="1" applyFill="1" applyBorder="1" applyAlignment="1" applyProtection="1">
      <alignment horizontal="center" vertical="top" wrapText="1" readingOrder="1"/>
      <protection locked="0"/>
    </xf>
    <xf numFmtId="0" fontId="5" fillId="0" borderId="39" xfId="0" applyFont="1" applyBorder="1" applyAlignment="1" applyProtection="1">
      <alignment horizontal="left" vertical="top" wrapText="1" readingOrder="1"/>
      <protection locked="0"/>
    </xf>
    <xf numFmtId="0" fontId="5" fillId="0" borderId="49" xfId="0" applyFont="1" applyBorder="1" applyAlignment="1" applyProtection="1">
      <alignment horizontal="left" vertical="top" wrapText="1" readingOrder="1"/>
      <protection locked="0"/>
    </xf>
    <xf numFmtId="0" fontId="5" fillId="0" borderId="11" xfId="0" applyFont="1" applyBorder="1" applyAlignment="1" applyProtection="1">
      <alignment horizontal="left" vertical="top" wrapText="1" readingOrder="1"/>
      <protection locked="0"/>
    </xf>
    <xf numFmtId="0" fontId="5" fillId="4" borderId="77" xfId="0" applyFont="1" applyFill="1" applyBorder="1" applyAlignment="1" applyProtection="1">
      <alignment horizontal="left" vertical="top" wrapText="1" readingOrder="1"/>
      <protection locked="0"/>
    </xf>
    <xf numFmtId="0" fontId="5" fillId="4" borderId="78" xfId="0" applyFont="1" applyFill="1" applyBorder="1" applyAlignment="1" applyProtection="1">
      <alignment horizontal="left" vertical="top" wrapText="1" readingOrder="1"/>
      <protection locked="0"/>
    </xf>
    <xf numFmtId="0" fontId="5" fillId="4" borderId="79" xfId="0" applyFont="1" applyFill="1" applyBorder="1" applyAlignment="1" applyProtection="1">
      <alignment horizontal="left" vertical="top" wrapText="1" readingOrder="1"/>
      <protection locked="0"/>
    </xf>
    <xf numFmtId="0" fontId="5" fillId="4" borderId="77" xfId="0" applyFont="1" applyFill="1" applyBorder="1" applyAlignment="1" applyProtection="1">
      <alignment horizontal="center" vertical="top" wrapText="1" readingOrder="1"/>
      <protection locked="0"/>
    </xf>
    <xf numFmtId="0" fontId="5" fillId="4" borderId="78" xfId="0" applyFont="1" applyFill="1" applyBorder="1" applyAlignment="1" applyProtection="1">
      <alignment horizontal="center" vertical="top" wrapText="1" readingOrder="1"/>
      <protection locked="0"/>
    </xf>
    <xf numFmtId="0" fontId="5" fillId="4" borderId="80" xfId="0" applyFont="1" applyFill="1" applyBorder="1" applyAlignment="1" applyProtection="1">
      <alignment horizontal="center" vertical="top" wrapText="1" readingOrder="1"/>
      <protection locked="0"/>
    </xf>
    <xf numFmtId="0" fontId="5" fillId="4" borderId="35" xfId="0" applyFont="1" applyFill="1" applyBorder="1" applyAlignment="1" applyProtection="1">
      <alignment horizontal="left" vertical="top" wrapText="1" readingOrder="1"/>
      <protection locked="0"/>
    </xf>
    <xf numFmtId="0" fontId="5" fillId="4" borderId="36" xfId="0" applyFont="1" applyFill="1" applyBorder="1" applyAlignment="1" applyProtection="1">
      <alignment horizontal="left" vertical="top" wrapText="1" readingOrder="1"/>
      <protection locked="0"/>
    </xf>
    <xf numFmtId="0" fontId="5" fillId="4" borderId="33" xfId="0" applyFont="1" applyFill="1" applyBorder="1" applyAlignment="1" applyProtection="1">
      <alignment horizontal="left" vertical="top" wrapText="1" readingOrder="1"/>
      <protection locked="0"/>
    </xf>
    <xf numFmtId="0" fontId="5" fillId="4" borderId="35" xfId="0" applyFont="1" applyFill="1" applyBorder="1" applyAlignment="1" applyProtection="1">
      <alignment horizontal="center" vertical="top" wrapText="1" readingOrder="1"/>
      <protection locked="0"/>
    </xf>
    <xf numFmtId="0" fontId="5" fillId="4" borderId="36" xfId="0" applyFont="1" applyFill="1" applyBorder="1" applyAlignment="1" applyProtection="1">
      <alignment horizontal="center" vertical="top" wrapText="1" readingOrder="1"/>
      <protection locked="0"/>
    </xf>
    <xf numFmtId="0" fontId="5" fillId="4" borderId="37" xfId="0" applyFont="1" applyFill="1" applyBorder="1" applyAlignment="1" applyProtection="1">
      <alignment horizontal="center" vertical="top" wrapText="1" readingOrder="1"/>
      <protection locked="0"/>
    </xf>
    <xf numFmtId="0" fontId="5" fillId="0" borderId="28" xfId="0" applyFont="1" applyBorder="1" applyAlignment="1" applyProtection="1">
      <alignment horizontal="left" vertical="top" wrapText="1" readingOrder="1"/>
      <protection locked="0"/>
    </xf>
    <xf numFmtId="0" fontId="5" fillId="0" borderId="11" xfId="0" applyFont="1" applyBorder="1" applyAlignment="1" applyProtection="1">
      <alignment horizontal="center" vertical="top" wrapText="1" readingOrder="1"/>
      <protection locked="0"/>
    </xf>
    <xf numFmtId="0" fontId="5" fillId="0" borderId="31" xfId="0" applyFont="1" applyBorder="1" applyAlignment="1" applyProtection="1">
      <alignment horizontal="center" vertical="top" wrapText="1" readingOrder="1"/>
      <protection locked="0"/>
    </xf>
    <xf numFmtId="0" fontId="5" fillId="0" borderId="52" xfId="0" applyFont="1" applyBorder="1" applyAlignment="1" applyProtection="1">
      <alignment horizontal="center" vertical="top" wrapText="1" readingOrder="1"/>
      <protection locked="0"/>
    </xf>
    <xf numFmtId="0" fontId="5" fillId="0" borderId="17" xfId="0" applyFont="1" applyBorder="1" applyAlignment="1" applyProtection="1">
      <alignment horizontal="left" vertical="top" wrapText="1" readingOrder="1"/>
      <protection locked="0"/>
    </xf>
    <xf numFmtId="0" fontId="5" fillId="5" borderId="24" xfId="0" applyFont="1" applyFill="1" applyBorder="1" applyAlignment="1" applyProtection="1">
      <alignment horizontal="center" vertical="top" wrapText="1" readingOrder="1"/>
      <protection locked="0"/>
    </xf>
    <xf numFmtId="0" fontId="5" fillId="5" borderId="25" xfId="0" applyFont="1" applyFill="1" applyBorder="1" applyAlignment="1" applyProtection="1">
      <alignment horizontal="center" vertical="top" wrapText="1" readingOrder="1"/>
      <protection locked="0"/>
    </xf>
    <xf numFmtId="0" fontId="5" fillId="5" borderId="27" xfId="0" applyFont="1" applyFill="1" applyBorder="1" applyAlignment="1" applyProtection="1">
      <alignment horizontal="center" vertical="top" wrapText="1" readingOrder="1"/>
      <protection locked="0"/>
    </xf>
    <xf numFmtId="0" fontId="5" fillId="0" borderId="29" xfId="0" applyFont="1" applyBorder="1" applyAlignment="1" applyProtection="1">
      <alignment horizontal="center" vertical="top" wrapText="1" readingOrder="1"/>
      <protection locked="0"/>
    </xf>
    <xf numFmtId="0" fontId="5" fillId="0" borderId="30" xfId="0" applyFont="1" applyBorder="1" applyAlignment="1" applyProtection="1">
      <alignment horizontal="center" vertical="top" wrapText="1" readingOrder="1"/>
      <protection locked="0"/>
    </xf>
    <xf numFmtId="0" fontId="5" fillId="4" borderId="60" xfId="0" applyFont="1" applyFill="1" applyBorder="1" applyAlignment="1" applyProtection="1">
      <alignment horizontal="center" vertical="top" wrapText="1" readingOrder="1"/>
      <protection locked="0"/>
    </xf>
    <xf numFmtId="0" fontId="5" fillId="4" borderId="61" xfId="0" applyFont="1" applyFill="1" applyBorder="1" applyAlignment="1" applyProtection="1">
      <alignment horizontal="center" vertical="top" wrapText="1" readingOrder="1"/>
      <protection locked="0"/>
    </xf>
    <xf numFmtId="0" fontId="5" fillId="4" borderId="63" xfId="0" applyFont="1" applyFill="1" applyBorder="1" applyAlignment="1" applyProtection="1">
      <alignment horizontal="center" vertical="top" wrapText="1" readingOrder="1"/>
      <protection locked="0"/>
    </xf>
    <xf numFmtId="2" fontId="5" fillId="0" borderId="11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22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39" xfId="0" applyFont="1" applyBorder="1" applyAlignment="1" applyProtection="1">
      <alignment horizontal="center" vertical="top" wrapText="1" readingOrder="1"/>
      <protection locked="0"/>
    </xf>
    <xf numFmtId="0" fontId="5" fillId="0" borderId="41" xfId="0" applyFont="1" applyBorder="1" applyAlignment="1" applyProtection="1">
      <alignment horizontal="center" vertical="top" wrapText="1" readingOrder="1"/>
      <protection locked="0"/>
    </xf>
    <xf numFmtId="0" fontId="5" fillId="0" borderId="43" xfId="0" applyFont="1" applyBorder="1" applyAlignment="1" applyProtection="1">
      <alignment horizontal="center" vertical="top" wrapText="1" readingOrder="1"/>
      <protection locked="0"/>
    </xf>
    <xf numFmtId="0" fontId="5" fillId="0" borderId="45" xfId="0" applyFont="1" applyBorder="1" applyAlignment="1" applyProtection="1">
      <alignment horizontal="center" vertical="top" wrapText="1" readingOrder="1"/>
      <protection locked="0"/>
    </xf>
    <xf numFmtId="0" fontId="5" fillId="5" borderId="24" xfId="0" applyFont="1" applyFill="1" applyBorder="1" applyAlignment="1" applyProtection="1">
      <alignment horizontal="left" vertical="top" wrapText="1" readingOrder="1"/>
      <protection locked="0"/>
    </xf>
    <xf numFmtId="0" fontId="5" fillId="5" borderId="25" xfId="0" applyFont="1" applyFill="1" applyBorder="1" applyAlignment="1" applyProtection="1">
      <alignment horizontal="left" vertical="top" wrapText="1" readingOrder="1"/>
      <protection locked="0"/>
    </xf>
    <xf numFmtId="0" fontId="5" fillId="5" borderId="26" xfId="0" applyFont="1" applyFill="1" applyBorder="1" applyAlignment="1" applyProtection="1">
      <alignment horizontal="left" vertical="top" wrapText="1" readingOrder="1"/>
      <protection locked="0"/>
    </xf>
    <xf numFmtId="0" fontId="5" fillId="9" borderId="29" xfId="0" applyFont="1" applyFill="1" applyBorder="1" applyAlignment="1" applyProtection="1">
      <alignment horizontal="center" vertical="top" wrapText="1" readingOrder="1"/>
      <protection locked="0"/>
    </xf>
    <xf numFmtId="0" fontId="5" fillId="9" borderId="30" xfId="0" applyFont="1" applyFill="1" applyBorder="1" applyAlignment="1" applyProtection="1">
      <alignment horizontal="center" vertical="top" wrapText="1" readingOrder="1"/>
      <protection locked="0"/>
    </xf>
    <xf numFmtId="2" fontId="5" fillId="8" borderId="17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8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8" borderId="17" xfId="0" applyFont="1" applyFill="1" applyBorder="1" applyAlignment="1" applyProtection="1">
      <alignment horizontal="center" vertical="top" wrapText="1" readingOrder="1"/>
      <protection locked="0"/>
    </xf>
    <xf numFmtId="0" fontId="5" fillId="8" borderId="22" xfId="0" applyFont="1" applyFill="1" applyBorder="1" applyAlignment="1" applyProtection="1">
      <alignment horizontal="center" vertical="top" wrapText="1" readingOrder="1"/>
      <protection locked="0"/>
    </xf>
    <xf numFmtId="0" fontId="5" fillId="0" borderId="32" xfId="0" applyFont="1" applyBorder="1" applyAlignment="1" applyProtection="1">
      <alignment horizontal="center" vertical="top" wrapText="1" readingOrder="1"/>
      <protection locked="0"/>
    </xf>
    <xf numFmtId="0" fontId="5" fillId="0" borderId="66" xfId="0" applyFont="1" applyBorder="1" applyAlignment="1" applyProtection="1">
      <alignment horizontal="center" vertical="top" wrapText="1" readingOrder="1"/>
      <protection locked="0"/>
    </xf>
    <xf numFmtId="0" fontId="5" fillId="0" borderId="64" xfId="0" applyFont="1" applyBorder="1" applyAlignment="1" applyProtection="1">
      <alignment horizontal="center" vertical="top" wrapText="1" readingOrder="1"/>
      <protection locked="0"/>
    </xf>
    <xf numFmtId="0" fontId="5" fillId="0" borderId="71" xfId="0" applyFont="1" applyBorder="1" applyAlignment="1" applyProtection="1">
      <alignment horizontal="center" vertical="top" wrapText="1" readingOrder="1"/>
      <protection locked="0"/>
    </xf>
    <xf numFmtId="2" fontId="5" fillId="0" borderId="66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64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71" xfId="0" applyNumberFormat="1" applyFont="1" applyBorder="1" applyAlignment="1" applyProtection="1">
      <alignment horizontal="center" vertical="top" wrapText="1" readingOrder="1"/>
      <protection locked="0"/>
    </xf>
    <xf numFmtId="0" fontId="5" fillId="6" borderId="24" xfId="0" applyFont="1" applyFill="1" applyBorder="1" applyAlignment="1" applyProtection="1">
      <alignment horizontal="center" vertical="top" wrapText="1" readingOrder="1"/>
      <protection locked="0"/>
    </xf>
    <xf numFmtId="0" fontId="5" fillId="6" borderId="25" xfId="0" applyFont="1" applyFill="1" applyBorder="1" applyAlignment="1" applyProtection="1">
      <alignment horizontal="center" vertical="top" wrapText="1" readingOrder="1"/>
      <protection locked="0"/>
    </xf>
    <xf numFmtId="0" fontId="5" fillId="6" borderId="27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>
      <alignment horizontal="center" wrapText="1"/>
    </xf>
    <xf numFmtId="0" fontId="1" fillId="7" borderId="10" xfId="0" applyFont="1" applyFill="1" applyBorder="1" applyAlignment="1">
      <alignment horizontal="center" vertical="center" wrapText="1" readingOrder="1"/>
    </xf>
    <xf numFmtId="0" fontId="1" fillId="7" borderId="15" xfId="0" applyFont="1" applyFill="1" applyBorder="1" applyAlignment="1">
      <alignment horizontal="center" vertical="center" wrapText="1" readingOrder="1"/>
    </xf>
    <xf numFmtId="0" fontId="1" fillId="7" borderId="21" xfId="0" applyFont="1" applyFill="1" applyBorder="1" applyAlignment="1">
      <alignment horizontal="center" vertical="center" wrapText="1" readingOrder="1"/>
    </xf>
    <xf numFmtId="0" fontId="1" fillId="7" borderId="11" xfId="0" applyFont="1" applyFill="1" applyBorder="1" applyAlignment="1">
      <alignment horizontal="center" vertical="center" wrapText="1" readingOrder="1"/>
    </xf>
    <xf numFmtId="0" fontId="1" fillId="7" borderId="16" xfId="0" applyFont="1" applyFill="1" applyBorder="1" applyAlignment="1">
      <alignment horizontal="center" vertical="center" wrapText="1" readingOrder="1"/>
    </xf>
    <xf numFmtId="0" fontId="1" fillId="7" borderId="22" xfId="0" applyFont="1" applyFill="1" applyBorder="1" applyAlignment="1">
      <alignment horizontal="center" vertical="center" wrapText="1" readingOrder="1"/>
    </xf>
    <xf numFmtId="2" fontId="1" fillId="7" borderId="11" xfId="0" applyNumberFormat="1" applyFont="1" applyFill="1" applyBorder="1" applyAlignment="1">
      <alignment horizontal="center" vertical="center" wrapText="1" readingOrder="1"/>
    </xf>
    <xf numFmtId="2" fontId="1" fillId="7" borderId="16" xfId="0" applyNumberFormat="1" applyFont="1" applyFill="1" applyBorder="1" applyAlignment="1">
      <alignment horizontal="center" vertical="center" wrapText="1" readingOrder="1"/>
    </xf>
    <xf numFmtId="2" fontId="1" fillId="7" borderId="22" xfId="0" applyNumberFormat="1" applyFont="1" applyFill="1" applyBorder="1" applyAlignment="1">
      <alignment horizontal="center" vertical="center" wrapText="1" readingOrder="1"/>
    </xf>
    <xf numFmtId="14" fontId="2" fillId="2" borderId="0" xfId="0" applyNumberFormat="1" applyFont="1" applyFill="1" applyAlignment="1">
      <alignment horizontal="center" wrapText="1"/>
    </xf>
    <xf numFmtId="0" fontId="1" fillId="7" borderId="17" xfId="0" applyFont="1" applyFill="1" applyBorder="1" applyAlignment="1">
      <alignment horizontal="center" vertical="center" wrapText="1" readingOrder="1"/>
    </xf>
    <xf numFmtId="0" fontId="1" fillId="7" borderId="12" xfId="0" applyFont="1" applyFill="1" applyBorder="1" applyAlignment="1">
      <alignment horizontal="center" vertical="center" wrapText="1" readingOrder="1"/>
    </xf>
    <xf numFmtId="0" fontId="1" fillId="7" borderId="13" xfId="0" applyFont="1" applyFill="1" applyBorder="1" applyAlignment="1">
      <alignment horizontal="center" vertical="center" wrapText="1" readingOrder="1"/>
    </xf>
    <xf numFmtId="0" fontId="1" fillId="7" borderId="14" xfId="0" applyFont="1" applyFill="1" applyBorder="1" applyAlignment="1">
      <alignment horizontal="center" vertical="center" wrapText="1" readingOrder="1"/>
    </xf>
    <xf numFmtId="0" fontId="1" fillId="7" borderId="18" xfId="0" applyFont="1" applyFill="1" applyBorder="1" applyAlignment="1">
      <alignment horizontal="center" vertical="center" wrapText="1" readingOrder="1"/>
    </xf>
    <xf numFmtId="0" fontId="1" fillId="7" borderId="19" xfId="0" applyFont="1" applyFill="1" applyBorder="1" applyAlignment="1">
      <alignment horizontal="center" vertical="center" wrapText="1" readingOrder="1"/>
    </xf>
    <xf numFmtId="0" fontId="1" fillId="7" borderId="20" xfId="0" applyFont="1" applyFill="1" applyBorder="1" applyAlignment="1">
      <alignment horizontal="center" vertical="center" wrapText="1" readingOrder="1"/>
    </xf>
    <xf numFmtId="0" fontId="4" fillId="6" borderId="24" xfId="0" applyFont="1" applyFill="1" applyBorder="1" applyAlignment="1" applyProtection="1">
      <alignment horizontal="left" vertical="top" wrapText="1" readingOrder="1"/>
      <protection locked="0"/>
    </xf>
    <xf numFmtId="0" fontId="4" fillId="6" borderId="25" xfId="0" applyFont="1" applyFill="1" applyBorder="1" applyAlignment="1" applyProtection="1">
      <alignment horizontal="left" vertical="top" wrapText="1" readingOrder="1"/>
      <protection locked="0"/>
    </xf>
    <xf numFmtId="0" fontId="4" fillId="6" borderId="26" xfId="0" applyFont="1" applyFill="1" applyBorder="1" applyAlignment="1" applyProtection="1">
      <alignment horizontal="left" vertical="top" wrapText="1" readingOrder="1"/>
      <protection locked="0"/>
    </xf>
    <xf numFmtId="2" fontId="5" fillId="0" borderId="11" xfId="0" applyNumberFormat="1" applyFont="1" applyBorder="1" applyAlignment="1">
      <alignment horizontal="center" vertical="top" wrapText="1" readingOrder="1"/>
    </xf>
    <xf numFmtId="0" fontId="5" fillId="0" borderId="10" xfId="0" applyFont="1" applyBorder="1" applyAlignment="1" applyProtection="1">
      <alignment horizontal="left" vertical="top" wrapText="1" readingOrder="1"/>
      <protection locked="0"/>
    </xf>
    <xf numFmtId="0" fontId="5" fillId="0" borderId="15" xfId="0" applyFont="1" applyBorder="1" applyAlignment="1" applyProtection="1">
      <alignment horizontal="left" vertical="top" wrapText="1" readingOrder="1"/>
      <protection locked="0"/>
    </xf>
    <xf numFmtId="0" fontId="5" fillId="0" borderId="38" xfId="0" applyFont="1" applyBorder="1" applyAlignment="1" applyProtection="1">
      <alignment horizontal="left" vertical="top" wrapText="1" readingOrder="1"/>
      <protection locked="0"/>
    </xf>
    <xf numFmtId="0" fontId="5" fillId="0" borderId="42" xfId="0" applyFont="1" applyBorder="1" applyAlignment="1" applyProtection="1">
      <alignment horizontal="left" vertical="top" wrapText="1" readingOrder="1"/>
      <protection locked="0"/>
    </xf>
    <xf numFmtId="0" fontId="5" fillId="0" borderId="48" xfId="0" applyFont="1" applyBorder="1" applyAlignment="1" applyProtection="1">
      <alignment horizontal="left" vertical="top" wrapText="1" readingOrder="1"/>
      <protection locked="0"/>
    </xf>
    <xf numFmtId="0" fontId="5" fillId="0" borderId="49" xfId="0" applyFont="1" applyBorder="1" applyAlignment="1" applyProtection="1">
      <alignment horizontal="center" vertical="top" wrapText="1" readingOrder="1"/>
      <protection locked="0"/>
    </xf>
    <xf numFmtId="2" fontId="5" fillId="9" borderId="39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9" borderId="16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9" borderId="49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9" borderId="11" xfId="0" applyNumberFormat="1" applyFont="1" applyFill="1" applyBorder="1" applyAlignment="1" applyProtection="1">
      <alignment horizontal="center" vertical="top" wrapText="1" readingOrder="1"/>
      <protection locked="0"/>
    </xf>
    <xf numFmtId="2" fontId="5" fillId="0" borderId="22" xfId="0" applyNumberFormat="1" applyFont="1" applyBorder="1" applyAlignment="1">
      <alignment horizontal="center" vertical="top" wrapText="1" readingOrder="1"/>
    </xf>
    <xf numFmtId="0" fontId="5" fillId="0" borderId="21" xfId="0" applyFont="1" applyBorder="1" applyAlignment="1" applyProtection="1">
      <alignment horizontal="left" vertical="top" wrapText="1" readingOrder="1"/>
      <protection locked="0"/>
    </xf>
    <xf numFmtId="2" fontId="5" fillId="9" borderId="11" xfId="0" applyNumberFormat="1" applyFont="1" applyFill="1" applyBorder="1" applyAlignment="1">
      <alignment horizontal="center" vertical="top" wrapText="1" readingOrder="1"/>
    </xf>
    <xf numFmtId="2" fontId="5" fillId="9" borderId="16" xfId="0" applyNumberFormat="1" applyFont="1" applyFill="1" applyBorder="1" applyAlignment="1">
      <alignment horizontal="center" vertical="top" wrapText="1" readingOrder="1"/>
    </xf>
    <xf numFmtId="2" fontId="5" fillId="9" borderId="22" xfId="0" applyNumberFormat="1" applyFont="1" applyFill="1" applyBorder="1" applyAlignment="1">
      <alignment horizontal="center" vertical="top" wrapText="1" readingOrder="1"/>
    </xf>
    <xf numFmtId="2" fontId="5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66" xfId="0" applyFont="1" applyBorder="1" applyAlignment="1" applyProtection="1">
      <alignment horizontal="left" vertical="top" wrapText="1" readingOrder="1"/>
      <protection locked="0"/>
    </xf>
    <xf numFmtId="0" fontId="5" fillId="0" borderId="64" xfId="0" applyFont="1" applyBorder="1" applyAlignment="1" applyProtection="1">
      <alignment horizontal="left" vertical="top" wrapText="1" readingOrder="1"/>
      <protection locked="0"/>
    </xf>
    <xf numFmtId="0" fontId="5" fillId="0" borderId="71" xfId="0" applyFont="1" applyBorder="1" applyAlignment="1" applyProtection="1">
      <alignment horizontal="left" vertical="top" wrapText="1" readingOrder="1"/>
      <protection locked="0"/>
    </xf>
    <xf numFmtId="0" fontId="5" fillId="0" borderId="65" xfId="0" applyFont="1" applyBorder="1" applyAlignment="1" applyProtection="1">
      <alignment horizontal="left" vertical="top" wrapText="1" readingOrder="1"/>
      <protection locked="0"/>
    </xf>
    <xf numFmtId="0" fontId="5" fillId="0" borderId="68" xfId="0" applyFont="1" applyBorder="1" applyAlignment="1" applyProtection="1">
      <alignment horizontal="left" vertical="top" wrapText="1" readingOrder="1"/>
      <protection locked="0"/>
    </xf>
    <xf numFmtId="0" fontId="5" fillId="0" borderId="70" xfId="0" applyFont="1" applyBorder="1" applyAlignment="1" applyProtection="1">
      <alignment horizontal="left" vertical="top" wrapText="1" readingOrder="1"/>
      <protection locked="0"/>
    </xf>
    <xf numFmtId="2" fontId="5" fillId="0" borderId="39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49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65" xfId="0" applyFont="1" applyBorder="1" applyAlignment="1" applyProtection="1">
      <alignment horizontal="center" vertical="top" wrapText="1" readingOrder="1"/>
      <protection locked="0"/>
    </xf>
    <xf numFmtId="0" fontId="5" fillId="0" borderId="68" xfId="0" applyFont="1" applyBorder="1" applyAlignment="1" applyProtection="1">
      <alignment horizontal="center" vertical="top" wrapText="1" readingOrder="1"/>
      <protection locked="0"/>
    </xf>
    <xf numFmtId="0" fontId="5" fillId="0" borderId="70" xfId="0" applyFont="1" applyBorder="1" applyAlignment="1" applyProtection="1">
      <alignment horizontal="center" vertical="top" wrapText="1" readingOrder="1"/>
      <protection locked="0"/>
    </xf>
    <xf numFmtId="0" fontId="5" fillId="0" borderId="32" xfId="0" applyFont="1" applyFill="1" applyBorder="1" applyAlignment="1" applyProtection="1">
      <alignment horizontal="center" vertical="top" wrapText="1" readingOrder="1"/>
      <protection locked="0"/>
    </xf>
    <xf numFmtId="0" fontId="5" fillId="0" borderId="30" xfId="0" applyFont="1" applyFill="1" applyBorder="1" applyAlignment="1" applyProtection="1">
      <alignment horizontal="center" vertical="top" wrapText="1" readingOrder="1"/>
      <protection locked="0"/>
    </xf>
    <xf numFmtId="0" fontId="5" fillId="0" borderId="16" xfId="0" applyFont="1" applyFill="1" applyBorder="1" applyAlignment="1" applyProtection="1">
      <alignment horizontal="center" vertical="top" wrapText="1" readingOrder="1"/>
      <protection locked="0"/>
    </xf>
    <xf numFmtId="0" fontId="5" fillId="0" borderId="22" xfId="0" applyFont="1" applyFill="1" applyBorder="1" applyAlignment="1" applyProtection="1">
      <alignment horizontal="center" vertical="top" wrapText="1" readingOrder="1"/>
      <protection locked="0"/>
    </xf>
    <xf numFmtId="0" fontId="5" fillId="9" borderId="17" xfId="0" applyFont="1" applyFill="1" applyBorder="1" applyAlignment="1" applyProtection="1">
      <alignment horizontal="center" vertical="top" wrapText="1" readingOrder="1"/>
      <protection locked="0"/>
    </xf>
    <xf numFmtId="0" fontId="5" fillId="9" borderId="22" xfId="0" applyFont="1" applyFill="1" applyBorder="1" applyAlignment="1" applyProtection="1">
      <alignment horizontal="center" vertical="top" wrapText="1" readingOrder="1"/>
      <protection locked="0"/>
    </xf>
    <xf numFmtId="0" fontId="5" fillId="0" borderId="44" xfId="0" applyFont="1" applyBorder="1" applyAlignment="1" applyProtection="1">
      <alignment horizontal="left" vertical="top" wrapText="1" readingOrder="1"/>
      <protection locked="0"/>
    </xf>
    <xf numFmtId="0" fontId="5" fillId="0" borderId="46" xfId="0" applyFont="1" applyBorder="1" applyAlignment="1" applyProtection="1">
      <alignment horizontal="left" vertical="top" wrapText="1" readingOrder="1"/>
      <protection locked="0"/>
    </xf>
    <xf numFmtId="0" fontId="5" fillId="0" borderId="47" xfId="0" applyFont="1" applyBorder="1" applyAlignment="1" applyProtection="1">
      <alignment horizontal="center" vertical="top" wrapText="1" readingOrder="1"/>
      <protection locked="0"/>
    </xf>
    <xf numFmtId="0" fontId="5" fillId="0" borderId="51" xfId="0" applyFont="1" applyBorder="1" applyAlignment="1" applyProtection="1">
      <alignment horizontal="center" vertical="top" wrapText="1" readingOrder="1"/>
      <protection locked="0"/>
    </xf>
    <xf numFmtId="0" fontId="5" fillId="4" borderId="60" xfId="0" applyFont="1" applyFill="1" applyBorder="1" applyAlignment="1" applyProtection="1">
      <alignment horizontal="left" vertical="top" wrapText="1" readingOrder="1"/>
      <protection locked="0"/>
    </xf>
    <xf numFmtId="0" fontId="5" fillId="4" borderId="61" xfId="0" applyFont="1" applyFill="1" applyBorder="1" applyAlignment="1" applyProtection="1">
      <alignment horizontal="left" vertical="top" wrapText="1" readingOrder="1"/>
      <protection locked="0"/>
    </xf>
    <xf numFmtId="0" fontId="5" fillId="4" borderId="62" xfId="0" applyFont="1" applyFill="1" applyBorder="1" applyAlignment="1" applyProtection="1">
      <alignment horizontal="left" vertical="top" wrapText="1" readingOrder="1"/>
      <protection locked="0"/>
    </xf>
    <xf numFmtId="0" fontId="5" fillId="3" borderId="74" xfId="0" applyFont="1" applyFill="1" applyBorder="1" applyAlignment="1" applyProtection="1">
      <alignment horizontal="left" vertical="top" wrapText="1" readingOrder="1"/>
      <protection locked="0"/>
    </xf>
    <xf numFmtId="0" fontId="5" fillId="0" borderId="81" xfId="0" applyFont="1" applyBorder="1" applyAlignment="1" applyProtection="1">
      <alignment horizontal="center" vertical="top" wrapText="1" readingOrder="1"/>
      <protection locked="0"/>
    </xf>
    <xf numFmtId="0" fontId="5" fillId="9" borderId="49" xfId="0" applyFont="1" applyFill="1" applyBorder="1" applyAlignment="1" applyProtection="1">
      <alignment horizontal="center" vertical="top" wrapText="1" readingOrder="1"/>
      <protection locked="0"/>
    </xf>
    <xf numFmtId="0" fontId="3" fillId="0" borderId="11" xfId="0" applyFont="1" applyBorder="1" applyAlignment="1" applyProtection="1">
      <alignment horizontal="left" vertical="top" wrapText="1" readingOrder="1"/>
      <protection locked="0"/>
    </xf>
    <xf numFmtId="0" fontId="3" fillId="0" borderId="16" xfId="0" applyFont="1" applyBorder="1" applyAlignment="1" applyProtection="1">
      <alignment horizontal="left" vertical="top" wrapText="1" readingOrder="1"/>
      <protection locked="0"/>
    </xf>
    <xf numFmtId="0" fontId="3" fillId="0" borderId="22" xfId="0" applyFont="1" applyBorder="1" applyAlignment="1" applyProtection="1">
      <alignment horizontal="left" vertical="top" wrapText="1" readingOrder="1"/>
      <protection locked="0"/>
    </xf>
    <xf numFmtId="0" fontId="3" fillId="0" borderId="16" xfId="0" applyFont="1" applyBorder="1" applyAlignment="1" applyProtection="1">
      <alignment horizontal="center" vertical="top" wrapText="1" readingOrder="1"/>
      <protection locked="0"/>
    </xf>
    <xf numFmtId="0" fontId="3" fillId="0" borderId="22" xfId="0" applyFont="1" applyBorder="1" applyAlignment="1" applyProtection="1">
      <alignment horizontal="center" vertical="top" wrapText="1" readingOrder="1"/>
      <protection locked="0"/>
    </xf>
    <xf numFmtId="0" fontId="5" fillId="0" borderId="15" xfId="0" applyFont="1" applyBorder="1" applyAlignment="1" applyProtection="1">
      <alignment horizontal="center" vertical="top" wrapText="1" readingOrder="1"/>
      <protection locked="0"/>
    </xf>
    <xf numFmtId="0" fontId="5" fillId="0" borderId="21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6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left" vertical="center" wrapText="1"/>
    </xf>
    <xf numFmtId="0" fontId="7" fillId="9" borderId="56" xfId="0" applyFont="1" applyFill="1" applyBorder="1" applyAlignment="1">
      <alignment horizontal="left" vertical="top" wrapText="1"/>
    </xf>
    <xf numFmtId="0" fontId="7" fillId="9" borderId="0" xfId="0" applyFont="1" applyFill="1" applyAlignment="1">
      <alignment horizontal="left" vertical="top" wrapText="1"/>
    </xf>
    <xf numFmtId="0" fontId="7" fillId="0" borderId="56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Bačiliūnienė" id="{0B5AD22D-3A83-4D14-88B4-AA2B6193AD45}" userId="S::laura.baciliuniene@kaunas.lt::07ed414c-1cb2-42f8-9699-7949289002d6" providerId="AD"/>
  <person displayName="Kristina Dielininkaitytė" id="{EFDB74AD-E504-4CA9-A2FF-64B44295ED9C}" userId="S::kristina.dielininkaityte@kaunas.lt::87500fae-342e-4943-b75b-bde535644ff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1-21T19:26:16.18" personId="{EFDB74AD-E504-4CA9-A2FF-64B44295ED9C}" id="{BC8A6446-72F1-41D6-8D69-85DA32050FF9}">
    <text>tik pastebėjimas - daug kur skiriasi reikšmėse atskyrimas - taškas arba kablelis - pvz 5,00 ir 5.00 - manau daug kur taškas, kur ranka susivesta - taisysiu į kablelį visur</text>
  </threadedComment>
  <threadedComment ref="K27" dT="2023-01-21T20:30:01.64" personId="{EFDB74AD-E504-4CA9-A2FF-64B44295ED9C}" id="{69501A70-F5A3-475D-9EEE-7795F95418C7}">
    <text>pasižiūrėti investicijas</text>
  </threadedComment>
  <threadedComment ref="J47" dT="2023-01-21T20:30:27.17" personId="{EFDB74AD-E504-4CA9-A2FF-64B44295ED9C}" id="{46036EE3-B18B-4684-A998-D6314D1AB522}">
    <text>pasižiūrėti investicijas</text>
  </threadedComment>
  <threadedComment ref="J47" dT="2023-01-22T12:07:02.32" personId="{0B5AD22D-3A83-4D14-88B4-AA2B6193AD45}" id="{15AAA89F-B505-44DE-9333-3A7DE079CF08}" parentId="{46036EE3-B18B-4684-A998-D6314D1AB522}">
    <text>pagal aprasymus atrodo, kad turi buti trimetes reiksmes</text>
  </threadedComment>
  <threadedComment ref="M75" dT="2023-01-21T20:30:55.49" personId="{EFDB74AD-E504-4CA9-A2FF-64B44295ED9C}" id="{C80D388F-8509-4705-A357-ADC982D6E698}">
    <text>nieko 2024/2025?</text>
  </threadedComment>
  <threadedComment ref="M75" dT="2023-01-21T21:38:12.03" personId="{0B5AD22D-3A83-4D14-88B4-AA2B6193AD45}" id="{F8B50B26-7A51-480D-89CD-F96EB684BB00}" parentId="{C80D388F-8509-4705-A357-ADC982D6E698}">
    <text>tik 2023</text>
  </threadedComment>
  <threadedComment ref="M102" dT="2023-01-21T20:31:19.19" personId="{EFDB74AD-E504-4CA9-A2FF-64B44295ED9C}" id="{AF4BD6BB-01CE-4173-BED0-78DE895CC646}">
    <text>čia viskas ok? ar neturėtų tuomet likusį procentą skaidyti per visus tris metus, ar planuojamas įvykdymas per 2023/2024</text>
  </threadedComment>
  <threadedComment ref="M102" dT="2023-01-22T11:46:26.32" personId="{0B5AD22D-3A83-4D14-88B4-AA2B6193AD45}" id="{3C246B48-9B13-410A-B799-E4A02255CC30}" parentId="{AF4BD6BB-01CE-4173-BED0-78DE895CC646}">
    <text>taip turi buti.</text>
  </threadedComment>
  <threadedComment ref="M273" dT="2023-01-22T12:16:04.59" personId="{0B5AD22D-3A83-4D14-88B4-AA2B6193AD45}" id="{CA3C8032-9681-4314-87C7-EA54B068E62F}">
    <text xml:space="preserve"> 2023-2024 m. rangos darbai - 55 proc. ir statybos užbaigimo procedūros - 5 proc. per maza reiksme irasyta</text>
  </threadedComment>
  <threadedComment ref="J275" dT="2023-01-22T12:16:48.93" personId="{0B5AD22D-3A83-4D14-88B4-AA2B6193AD45}" id="{8840F965-3DFB-4562-8E34-AD12E53F5F06}">
    <text>110proc bendra suma</text>
  </threadedComment>
  <threadedComment ref="M284" dT="2023-01-21T20:32:38.52" personId="{EFDB74AD-E504-4CA9-A2FF-64B44295ED9C}" id="{C1389C94-7741-4810-A18B-4E6EBC44DA92}">
    <text>baigsis viskas iki 2025?</text>
  </threadedComment>
  <threadedComment ref="M284" dT="2023-01-22T12:24:32.16" personId="{0B5AD22D-3A83-4D14-88B4-AA2B6193AD45}" id="{E2337D5C-95E0-4BE8-9BF5-EB48E02BC4DB}" parentId="{C1389C94-7741-4810-A18B-4E6EBC44DA92}">
    <text>planai dvimeciai lyg buvo, patikslins Ingrida, paklausiau</text>
  </threadedComment>
  <threadedComment ref="M287" dT="2023-01-21T20:32:51.83" personId="{EFDB74AD-E504-4CA9-A2FF-64B44295ED9C}" id="{06AB123C-08BE-4ACE-BAAD-0BD11D3721B5}">
    <text>2023 dar nebus nieko?</text>
  </threadedComment>
  <threadedComment ref="M287" dT="2023-01-22T11:49:55.00" personId="{0B5AD22D-3A83-4D14-88B4-AA2B6193AD45}" id="{6FC5FED7-F633-4162-A3D4-8AC689551956}" parentId="{06AB123C-08BE-4ACE-BAAD-0BD11D3721B5}">
    <text>bus, projektavimo darbai ir rangos parengiamieji. Rodiklio aprasyme info. Taip turi buti</text>
  </threadedComment>
  <threadedComment ref="M459" dT="2023-01-22T11:57:26.71" personId="{0B5AD22D-3A83-4D14-88B4-AA2B6193AD45}" id="{D78BDE1C-47A3-429C-9835-C362E30DB9CC}">
    <text>taip, kauno energija gauna subsidijas, ar as klystu?</text>
  </threadedComment>
  <threadedComment ref="M463" dT="2023-01-21T20:33:52.29" personId="{EFDB74AD-E504-4CA9-A2FF-64B44295ED9C}" id="{A3E3F9AD-1021-486F-B419-B1747B75256E}">
    <text>čia viskas ok, jei pinigai tik 2023 metams?</text>
  </threadedComment>
  <threadedComment ref="M463" dT="2023-01-22T11:57:50.95" personId="{0B5AD22D-3A83-4D14-88B4-AA2B6193AD45}" id="{DCAF3603-D4BD-46E8-A269-E94105B59478}" parentId="{A3E3F9AD-1021-486F-B419-B1747B75256E}">
    <text>taip turi buti.</text>
  </threadedComment>
  <threadedComment ref="M479" dT="2023-01-21T20:34:11.68" personId="{EFDB74AD-E504-4CA9-A2FF-64B44295ED9C}" id="{E350C950-469A-462C-A889-531E37902053}">
    <text>neplanuoja nei vieno prijungt du metus?</text>
  </threadedComment>
  <threadedComment ref="M479" dT="2023-01-22T11:58:42.26" personId="{0B5AD22D-3A83-4D14-88B4-AA2B6193AD45}" id="{041C0727-D113-442E-B9F5-5245814F57D0}" parentId="{E350C950-469A-462C-A889-531E37902053}">
    <text>ne, neplanuoja ir 2025, reikalavo rodiklio, todel yra reikšme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5"/>
  <sheetViews>
    <sheetView tabSelected="1" zoomScale="70" zoomScaleNormal="70" zoomScaleSheetLayoutView="70" zoomScalePageLayoutView="55" workbookViewId="0">
      <selection activeCell="M27" sqref="M27"/>
    </sheetView>
  </sheetViews>
  <sheetFormatPr defaultColWidth="9.1796875" defaultRowHeight="14" x14ac:dyDescent="0.3"/>
  <cols>
    <col min="1" max="1" width="12.453125" style="26" bestFit="1" customWidth="1"/>
    <col min="2" max="2" width="26.453125" style="26" customWidth="1"/>
    <col min="3" max="3" width="14.7265625" style="26" customWidth="1"/>
    <col min="4" max="4" width="8.1796875" style="14" customWidth="1"/>
    <col min="5" max="5" width="17" style="35" customWidth="1"/>
    <col min="6" max="6" width="17.453125" style="35" customWidth="1"/>
    <col min="7" max="7" width="17.1796875" style="35" customWidth="1"/>
    <col min="8" max="8" width="29.7265625" style="26" customWidth="1"/>
    <col min="9" max="9" width="8.7265625" style="14" customWidth="1"/>
    <col min="10" max="12" width="15.54296875" style="14" bestFit="1" customWidth="1"/>
    <col min="13" max="13" width="25.453125" style="13" customWidth="1"/>
    <col min="14" max="14" width="9.1796875" style="13"/>
    <col min="15" max="15" width="13.26953125" style="13" customWidth="1"/>
    <col min="16" max="16" width="15.1796875" style="13" customWidth="1"/>
    <col min="17" max="17" width="14.7265625" style="13" customWidth="1"/>
    <col min="18" max="16384" width="9.1796875" style="13"/>
  </cols>
  <sheetData>
    <row r="1" spans="1:12" s="11" customForma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2" s="12" customFormat="1" x14ac:dyDescent="0.3">
      <c r="A2" s="290" t="s">
        <v>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2" ht="14.5" thickBot="1" x14ac:dyDescent="0.35"/>
    <row r="4" spans="1:12" ht="15.75" customHeight="1" x14ac:dyDescent="0.3">
      <c r="A4" s="281" t="s">
        <v>2</v>
      </c>
      <c r="B4" s="284" t="s">
        <v>3</v>
      </c>
      <c r="C4" s="284" t="s">
        <v>4</v>
      </c>
      <c r="D4" s="284" t="s">
        <v>5</v>
      </c>
      <c r="E4" s="287" t="s">
        <v>6</v>
      </c>
      <c r="F4" s="287" t="s">
        <v>7</v>
      </c>
      <c r="G4" s="287" t="s">
        <v>8</v>
      </c>
      <c r="H4" s="292" t="s">
        <v>9</v>
      </c>
      <c r="I4" s="293"/>
      <c r="J4" s="293"/>
      <c r="K4" s="293"/>
      <c r="L4" s="294"/>
    </row>
    <row r="5" spans="1:12" ht="15.75" customHeight="1" x14ac:dyDescent="0.3">
      <c r="A5" s="282"/>
      <c r="B5" s="285"/>
      <c r="C5" s="285"/>
      <c r="D5" s="285"/>
      <c r="E5" s="288"/>
      <c r="F5" s="288"/>
      <c r="G5" s="288"/>
      <c r="H5" s="291" t="s">
        <v>3</v>
      </c>
      <c r="I5" s="291" t="s">
        <v>10</v>
      </c>
      <c r="J5" s="295" t="s">
        <v>11</v>
      </c>
      <c r="K5" s="296"/>
      <c r="L5" s="297"/>
    </row>
    <row r="6" spans="1:12" ht="15.5" thickBot="1" x14ac:dyDescent="0.35">
      <c r="A6" s="283"/>
      <c r="B6" s="286"/>
      <c r="C6" s="286"/>
      <c r="D6" s="286"/>
      <c r="E6" s="289"/>
      <c r="F6" s="289"/>
      <c r="G6" s="289"/>
      <c r="H6" s="286"/>
      <c r="I6" s="286"/>
      <c r="J6" s="1" t="s">
        <v>12</v>
      </c>
      <c r="K6" s="1" t="s">
        <v>13</v>
      </c>
      <c r="L6" s="2" t="s">
        <v>14</v>
      </c>
    </row>
    <row r="7" spans="1:12" ht="32.25" customHeight="1" thickBot="1" x14ac:dyDescent="0.35">
      <c r="A7" s="18" t="s">
        <v>15</v>
      </c>
      <c r="B7" s="298" t="s">
        <v>16</v>
      </c>
      <c r="C7" s="299"/>
      <c r="D7" s="300"/>
      <c r="E7" s="36">
        <f>E8+E256+E337+E446</f>
        <v>190221617.66</v>
      </c>
      <c r="F7" s="36">
        <f>F8+F256+F337+F446</f>
        <v>184333241.40000001</v>
      </c>
      <c r="G7" s="36">
        <f>G8+G256+G337+G446</f>
        <v>196400563.40000001</v>
      </c>
      <c r="H7" s="277"/>
      <c r="I7" s="278"/>
      <c r="J7" s="278"/>
      <c r="K7" s="278"/>
      <c r="L7" s="279"/>
    </row>
    <row r="8" spans="1:12" ht="32.25" customHeight="1" thickBot="1" x14ac:dyDescent="0.35">
      <c r="A8" s="19" t="s">
        <v>17</v>
      </c>
      <c r="B8" s="261" t="s">
        <v>18</v>
      </c>
      <c r="C8" s="262"/>
      <c r="D8" s="263"/>
      <c r="E8" s="37">
        <f>E9+E116+E174</f>
        <v>51363999.340000004</v>
      </c>
      <c r="F8" s="37">
        <f>F9+F116+F174</f>
        <v>47839550</v>
      </c>
      <c r="G8" s="37">
        <f>G9+G116+G174</f>
        <v>50302495</v>
      </c>
      <c r="H8" s="247"/>
      <c r="I8" s="248"/>
      <c r="J8" s="248"/>
      <c r="K8" s="248"/>
      <c r="L8" s="249"/>
    </row>
    <row r="9" spans="1:12" ht="32.25" customHeight="1" thickBot="1" x14ac:dyDescent="0.35">
      <c r="A9" s="20" t="s">
        <v>19</v>
      </c>
      <c r="B9" s="194" t="s">
        <v>20</v>
      </c>
      <c r="C9" s="195"/>
      <c r="D9" s="196"/>
      <c r="E9" s="38">
        <f>E10+E70+E88+E89+E96</f>
        <v>44856664.670000002</v>
      </c>
      <c r="F9" s="38">
        <f>F10+F70+F88+F89+F96</f>
        <v>41595567</v>
      </c>
      <c r="G9" s="38">
        <f>G10+G70+G88+G89+G96</f>
        <v>44050770</v>
      </c>
      <c r="H9" s="188"/>
      <c r="I9" s="189"/>
      <c r="J9" s="189"/>
      <c r="K9" s="189"/>
      <c r="L9" s="190"/>
    </row>
    <row r="10" spans="1:12" ht="48" customHeight="1" thickBot="1" x14ac:dyDescent="0.35">
      <c r="A10" s="21" t="s">
        <v>21</v>
      </c>
      <c r="B10" s="185" t="s">
        <v>22</v>
      </c>
      <c r="C10" s="186"/>
      <c r="D10" s="187"/>
      <c r="E10" s="39">
        <f>E11+E14+E26+E27+E29+E33+E37+E42+E46+E47+E48+E61+E66+E67+E68</f>
        <v>37642711</v>
      </c>
      <c r="F10" s="39">
        <f>F11+F14+F26+F27+F29+F33+F37+F42+F46+F47+F48+F61+F66+F67+F68</f>
        <v>34186631</v>
      </c>
      <c r="G10" s="39">
        <f>G11+G14+G26+G27+G29+G33+G37+G42+G46+G47+G48+G61+G66+G67+G68</f>
        <v>34878259</v>
      </c>
      <c r="H10" s="191"/>
      <c r="I10" s="192"/>
      <c r="J10" s="192"/>
      <c r="K10" s="192"/>
      <c r="L10" s="193"/>
    </row>
    <row r="11" spans="1:12" ht="31" x14ac:dyDescent="0.3">
      <c r="A11" s="302" t="s">
        <v>23</v>
      </c>
      <c r="B11" s="229" t="s">
        <v>24</v>
      </c>
      <c r="C11" s="229" t="s">
        <v>25</v>
      </c>
      <c r="D11" s="243" t="s">
        <v>26</v>
      </c>
      <c r="E11" s="301">
        <f>SUM(E12:E13)+10655581</f>
        <v>10655581</v>
      </c>
      <c r="F11" s="301">
        <f>SUM(F12:F13)+8034207</f>
        <v>8034207</v>
      </c>
      <c r="G11" s="301">
        <f>SUM(G12:G13)+7676335</f>
        <v>7676335</v>
      </c>
      <c r="H11" s="3" t="s">
        <v>27</v>
      </c>
      <c r="I11" s="5" t="s">
        <v>28</v>
      </c>
      <c r="J11" s="5" t="s">
        <v>29</v>
      </c>
      <c r="K11" s="5" t="s">
        <v>29</v>
      </c>
      <c r="L11" s="31" t="s">
        <v>29</v>
      </c>
    </row>
    <row r="12" spans="1:12" ht="15.5" x14ac:dyDescent="0.3">
      <c r="A12" s="303"/>
      <c r="B12" s="205"/>
      <c r="C12" s="205"/>
      <c r="D12" s="197"/>
      <c r="E12" s="209"/>
      <c r="F12" s="209"/>
      <c r="G12" s="209"/>
      <c r="H12" s="4" t="s">
        <v>30</v>
      </c>
      <c r="I12" s="6" t="s">
        <v>31</v>
      </c>
      <c r="J12" s="6" t="s">
        <v>32</v>
      </c>
      <c r="K12" s="6" t="s">
        <v>32</v>
      </c>
      <c r="L12" s="32" t="s">
        <v>32</v>
      </c>
    </row>
    <row r="13" spans="1:12" ht="47" thickBot="1" x14ac:dyDescent="0.35">
      <c r="A13" s="303"/>
      <c r="B13" s="205"/>
      <c r="C13" s="205"/>
      <c r="D13" s="197"/>
      <c r="E13" s="209"/>
      <c r="F13" s="209"/>
      <c r="G13" s="209"/>
      <c r="H13" s="8" t="s">
        <v>33</v>
      </c>
      <c r="I13" s="33" t="s">
        <v>28</v>
      </c>
      <c r="J13" s="33" t="s">
        <v>29</v>
      </c>
      <c r="K13" s="33" t="s">
        <v>29</v>
      </c>
      <c r="L13" s="34" t="s">
        <v>34</v>
      </c>
    </row>
    <row r="14" spans="1:12" ht="50.25" customHeight="1" x14ac:dyDescent="0.3">
      <c r="A14" s="304" t="s">
        <v>35</v>
      </c>
      <c r="B14" s="227" t="s">
        <v>36</v>
      </c>
      <c r="C14" s="227" t="s">
        <v>25</v>
      </c>
      <c r="D14" s="257" t="s">
        <v>26</v>
      </c>
      <c r="E14" s="308">
        <f>SUM(E15:E25)+19592500</f>
        <v>19592500</v>
      </c>
      <c r="F14" s="308">
        <f>SUM(F15:F25)+20256200</f>
        <v>20256200</v>
      </c>
      <c r="G14" s="308">
        <f>SUM(G15:G25)+21269000</f>
        <v>21269000</v>
      </c>
      <c r="H14" s="57" t="s">
        <v>37</v>
      </c>
      <c r="I14" s="9" t="s">
        <v>28</v>
      </c>
      <c r="J14" s="9" t="s">
        <v>38</v>
      </c>
      <c r="K14" s="9" t="s">
        <v>38</v>
      </c>
      <c r="L14" s="58" t="s">
        <v>39</v>
      </c>
    </row>
    <row r="15" spans="1:12" ht="47.25" customHeight="1" x14ac:dyDescent="0.3">
      <c r="A15" s="305"/>
      <c r="B15" s="205"/>
      <c r="C15" s="205"/>
      <c r="D15" s="197"/>
      <c r="E15" s="309">
        <v>0</v>
      </c>
      <c r="F15" s="309">
        <v>0</v>
      </c>
      <c r="G15" s="309">
        <v>0</v>
      </c>
      <c r="H15" s="4" t="s">
        <v>40</v>
      </c>
      <c r="I15" s="6" t="s">
        <v>28</v>
      </c>
      <c r="J15" s="6" t="s">
        <v>29</v>
      </c>
      <c r="K15" s="6" t="s">
        <v>29</v>
      </c>
      <c r="L15" s="67" t="s">
        <v>29</v>
      </c>
    </row>
    <row r="16" spans="1:12" ht="48" customHeight="1" x14ac:dyDescent="0.3">
      <c r="A16" s="305"/>
      <c r="B16" s="205"/>
      <c r="C16" s="205"/>
      <c r="D16" s="197"/>
      <c r="E16" s="309">
        <v>0</v>
      </c>
      <c r="F16" s="309">
        <v>0</v>
      </c>
      <c r="G16" s="309">
        <v>0</v>
      </c>
      <c r="H16" s="4" t="s">
        <v>41</v>
      </c>
      <c r="I16" s="6" t="s">
        <v>28</v>
      </c>
      <c r="J16" s="6" t="s">
        <v>29</v>
      </c>
      <c r="K16" s="6" t="s">
        <v>29</v>
      </c>
      <c r="L16" s="67" t="s">
        <v>29</v>
      </c>
    </row>
    <row r="17" spans="1:12" ht="21.75" customHeight="1" x14ac:dyDescent="0.3">
      <c r="A17" s="305"/>
      <c r="B17" s="205"/>
      <c r="C17" s="205"/>
      <c r="D17" s="197"/>
      <c r="E17" s="309">
        <v>0</v>
      </c>
      <c r="F17" s="309">
        <v>0</v>
      </c>
      <c r="G17" s="309">
        <v>0</v>
      </c>
      <c r="H17" s="4" t="s">
        <v>42</v>
      </c>
      <c r="I17" s="6" t="s">
        <v>31</v>
      </c>
      <c r="J17" s="6" t="s">
        <v>43</v>
      </c>
      <c r="K17" s="6" t="s">
        <v>43</v>
      </c>
      <c r="L17" s="67" t="s">
        <v>43</v>
      </c>
    </row>
    <row r="18" spans="1:12" ht="21.75" customHeight="1" x14ac:dyDescent="0.3">
      <c r="A18" s="305"/>
      <c r="B18" s="205"/>
      <c r="C18" s="205"/>
      <c r="D18" s="197"/>
      <c r="E18" s="309">
        <v>0</v>
      </c>
      <c r="F18" s="309">
        <v>0</v>
      </c>
      <c r="G18" s="309">
        <v>0</v>
      </c>
      <c r="H18" s="4" t="s">
        <v>44</v>
      </c>
      <c r="I18" s="6" t="s">
        <v>31</v>
      </c>
      <c r="J18" s="6" t="s">
        <v>45</v>
      </c>
      <c r="K18" s="6" t="s">
        <v>45</v>
      </c>
      <c r="L18" s="67" t="s">
        <v>45</v>
      </c>
    </row>
    <row r="19" spans="1:12" ht="36" customHeight="1" x14ac:dyDescent="0.3">
      <c r="A19" s="305"/>
      <c r="B19" s="205"/>
      <c r="C19" s="205"/>
      <c r="D19" s="197"/>
      <c r="E19" s="309">
        <v>0</v>
      </c>
      <c r="F19" s="309">
        <v>0</v>
      </c>
      <c r="G19" s="309">
        <v>0</v>
      </c>
      <c r="H19" s="4" t="s">
        <v>46</v>
      </c>
      <c r="I19" s="6" t="s">
        <v>31</v>
      </c>
      <c r="J19" s="6" t="s">
        <v>47</v>
      </c>
      <c r="K19" s="6" t="s">
        <v>47</v>
      </c>
      <c r="L19" s="75" t="s">
        <v>48</v>
      </c>
    </row>
    <row r="20" spans="1:12" ht="36" customHeight="1" x14ac:dyDescent="0.3">
      <c r="A20" s="305"/>
      <c r="B20" s="205"/>
      <c r="C20" s="205"/>
      <c r="D20" s="197"/>
      <c r="E20" s="309">
        <v>0</v>
      </c>
      <c r="F20" s="309">
        <v>0</v>
      </c>
      <c r="G20" s="309">
        <v>0</v>
      </c>
      <c r="H20" s="4" t="s">
        <v>49</v>
      </c>
      <c r="I20" s="6" t="s">
        <v>50</v>
      </c>
      <c r="J20" s="6" t="s">
        <v>51</v>
      </c>
      <c r="K20" s="6" t="s">
        <v>52</v>
      </c>
      <c r="L20" s="67" t="s">
        <v>53</v>
      </c>
    </row>
    <row r="21" spans="1:12" ht="45" customHeight="1" x14ac:dyDescent="0.3">
      <c r="A21" s="305"/>
      <c r="B21" s="205"/>
      <c r="C21" s="205"/>
      <c r="D21" s="197"/>
      <c r="E21" s="309">
        <v>0</v>
      </c>
      <c r="F21" s="309">
        <v>0</v>
      </c>
      <c r="G21" s="309">
        <v>0</v>
      </c>
      <c r="H21" s="4" t="s">
        <v>54</v>
      </c>
      <c r="I21" s="6" t="s">
        <v>31</v>
      </c>
      <c r="J21" s="6" t="s">
        <v>55</v>
      </c>
      <c r="K21" s="6" t="s">
        <v>56</v>
      </c>
      <c r="L21" s="67" t="s">
        <v>56</v>
      </c>
    </row>
    <row r="22" spans="1:12" ht="36" customHeight="1" x14ac:dyDescent="0.3">
      <c r="A22" s="305"/>
      <c r="B22" s="205"/>
      <c r="C22" s="205"/>
      <c r="D22" s="197"/>
      <c r="E22" s="309">
        <v>0</v>
      </c>
      <c r="F22" s="309">
        <v>0</v>
      </c>
      <c r="G22" s="309">
        <v>0</v>
      </c>
      <c r="H22" s="4" t="s">
        <v>57</v>
      </c>
      <c r="I22" s="6" t="s">
        <v>31</v>
      </c>
      <c r="J22" s="6" t="s">
        <v>58</v>
      </c>
      <c r="K22" s="6" t="s">
        <v>58</v>
      </c>
      <c r="L22" s="67" t="s">
        <v>58</v>
      </c>
    </row>
    <row r="23" spans="1:12" ht="36" customHeight="1" x14ac:dyDescent="0.3">
      <c r="A23" s="305"/>
      <c r="B23" s="205"/>
      <c r="C23" s="205"/>
      <c r="D23" s="197"/>
      <c r="E23" s="309">
        <v>0</v>
      </c>
      <c r="F23" s="309">
        <v>0</v>
      </c>
      <c r="G23" s="309">
        <v>0</v>
      </c>
      <c r="H23" s="4" t="s">
        <v>59</v>
      </c>
      <c r="I23" s="6" t="s">
        <v>31</v>
      </c>
      <c r="J23" s="6" t="s">
        <v>60</v>
      </c>
      <c r="K23" s="6" t="s">
        <v>60</v>
      </c>
      <c r="L23" s="67" t="s">
        <v>60</v>
      </c>
    </row>
    <row r="24" spans="1:12" ht="45" customHeight="1" x14ac:dyDescent="0.3">
      <c r="A24" s="305"/>
      <c r="B24" s="205"/>
      <c r="C24" s="205"/>
      <c r="D24" s="197"/>
      <c r="E24" s="309">
        <v>0</v>
      </c>
      <c r="F24" s="309">
        <v>0</v>
      </c>
      <c r="G24" s="309">
        <v>0</v>
      </c>
      <c r="H24" s="4" t="s">
        <v>61</v>
      </c>
      <c r="I24" s="6" t="s">
        <v>28</v>
      </c>
      <c r="J24" s="6" t="s">
        <v>62</v>
      </c>
      <c r="K24" s="6" t="s">
        <v>62</v>
      </c>
      <c r="L24" s="67" t="s">
        <v>63</v>
      </c>
    </row>
    <row r="25" spans="1:12" ht="16" thickBot="1" x14ac:dyDescent="0.35">
      <c r="A25" s="306"/>
      <c r="B25" s="228"/>
      <c r="C25" s="228"/>
      <c r="D25" s="307"/>
      <c r="E25" s="310">
        <v>0</v>
      </c>
      <c r="F25" s="310">
        <v>0</v>
      </c>
      <c r="G25" s="310">
        <v>0</v>
      </c>
      <c r="H25" s="59" t="s">
        <v>64</v>
      </c>
      <c r="I25" s="10" t="s">
        <v>31</v>
      </c>
      <c r="J25" s="10" t="s">
        <v>65</v>
      </c>
      <c r="K25" s="10" t="s">
        <v>65</v>
      </c>
      <c r="L25" s="60" t="s">
        <v>65</v>
      </c>
    </row>
    <row r="26" spans="1:12" ht="76.5" customHeight="1" thickBot="1" x14ac:dyDescent="0.35">
      <c r="A26" s="66" t="s">
        <v>66</v>
      </c>
      <c r="B26" s="53" t="s">
        <v>67</v>
      </c>
      <c r="C26" s="53" t="s">
        <v>68</v>
      </c>
      <c r="D26" s="51" t="s">
        <v>26</v>
      </c>
      <c r="E26" s="54">
        <v>4469400</v>
      </c>
      <c r="F26" s="54">
        <v>3085224</v>
      </c>
      <c r="G26" s="54">
        <v>3085224</v>
      </c>
      <c r="H26" s="53" t="s">
        <v>69</v>
      </c>
      <c r="I26" s="51" t="s">
        <v>28</v>
      </c>
      <c r="J26" s="51" t="s">
        <v>29</v>
      </c>
      <c r="K26" s="51" t="s">
        <v>29</v>
      </c>
      <c r="L26" s="52" t="s">
        <v>29</v>
      </c>
    </row>
    <row r="27" spans="1:12" ht="35.15" customHeight="1" x14ac:dyDescent="0.3">
      <c r="A27" s="302" t="s">
        <v>70</v>
      </c>
      <c r="B27" s="229" t="s">
        <v>71</v>
      </c>
      <c r="C27" s="229" t="s">
        <v>72</v>
      </c>
      <c r="D27" s="243" t="s">
        <v>26</v>
      </c>
      <c r="E27" s="301">
        <f>SUM(E28:E28)+293630</f>
        <v>293630</v>
      </c>
      <c r="F27" s="301">
        <f>SUM(F28:F28)+159500</f>
        <v>159500</v>
      </c>
      <c r="G27" s="301">
        <f>SUM(G28:G28)+150000</f>
        <v>150000</v>
      </c>
      <c r="H27" s="3" t="s">
        <v>73</v>
      </c>
      <c r="I27" s="5" t="s">
        <v>31</v>
      </c>
      <c r="J27" s="181">
        <v>36</v>
      </c>
      <c r="K27" s="181">
        <v>30</v>
      </c>
      <c r="L27" s="182">
        <v>30</v>
      </c>
    </row>
    <row r="28" spans="1:12" ht="46.5" customHeight="1" thickBot="1" x14ac:dyDescent="0.35">
      <c r="A28" s="313"/>
      <c r="B28" s="206"/>
      <c r="C28" s="206"/>
      <c r="D28" s="198"/>
      <c r="E28" s="312"/>
      <c r="F28" s="312"/>
      <c r="G28" s="312"/>
      <c r="H28" s="4" t="s">
        <v>74</v>
      </c>
      <c r="I28" s="6" t="s">
        <v>31</v>
      </c>
      <c r="J28" s="183" t="s">
        <v>75</v>
      </c>
      <c r="K28" s="183">
        <v>12</v>
      </c>
      <c r="L28" s="184">
        <v>16</v>
      </c>
    </row>
    <row r="29" spans="1:12" ht="31" x14ac:dyDescent="0.3">
      <c r="A29" s="302" t="s">
        <v>76</v>
      </c>
      <c r="B29" s="229" t="s">
        <v>77</v>
      </c>
      <c r="C29" s="229" t="s">
        <v>25</v>
      </c>
      <c r="D29" s="243" t="s">
        <v>26</v>
      </c>
      <c r="E29" s="314">
        <f>SUM(E30:E32)+853800</f>
        <v>853800</v>
      </c>
      <c r="F29" s="314">
        <f>SUM(F30:F32)+845600</f>
        <v>845600</v>
      </c>
      <c r="G29" s="314">
        <f>SUM(G30:G32)+888200</f>
        <v>888200</v>
      </c>
      <c r="H29" s="3" t="s">
        <v>49</v>
      </c>
      <c r="I29" s="5" t="s">
        <v>50</v>
      </c>
      <c r="J29" s="5" t="s">
        <v>78</v>
      </c>
      <c r="K29" s="5" t="s">
        <v>79</v>
      </c>
      <c r="L29" s="31" t="s">
        <v>80</v>
      </c>
    </row>
    <row r="30" spans="1:12" ht="74.25" customHeight="1" x14ac:dyDescent="0.3">
      <c r="A30" s="303"/>
      <c r="B30" s="205"/>
      <c r="C30" s="205"/>
      <c r="D30" s="197"/>
      <c r="E30" s="315"/>
      <c r="F30" s="315"/>
      <c r="G30" s="315"/>
      <c r="H30" s="4" t="s">
        <v>81</v>
      </c>
      <c r="I30" s="6" t="s">
        <v>28</v>
      </c>
      <c r="J30" s="6" t="s">
        <v>29</v>
      </c>
      <c r="K30" s="6" t="s">
        <v>29</v>
      </c>
      <c r="L30" s="32" t="s">
        <v>29</v>
      </c>
    </row>
    <row r="31" spans="1:12" ht="46.5" x14ac:dyDescent="0.3">
      <c r="A31" s="303"/>
      <c r="B31" s="205"/>
      <c r="C31" s="205"/>
      <c r="D31" s="197"/>
      <c r="E31" s="315"/>
      <c r="F31" s="315"/>
      <c r="G31" s="315"/>
      <c r="H31" s="4" t="s">
        <v>41</v>
      </c>
      <c r="I31" s="6" t="s">
        <v>28</v>
      </c>
      <c r="J31" s="6" t="s">
        <v>29</v>
      </c>
      <c r="K31" s="6" t="s">
        <v>29</v>
      </c>
      <c r="L31" s="32" t="s">
        <v>29</v>
      </c>
    </row>
    <row r="32" spans="1:12" ht="16" thickBot="1" x14ac:dyDescent="0.35">
      <c r="A32" s="313"/>
      <c r="B32" s="206"/>
      <c r="C32" s="206"/>
      <c r="D32" s="198"/>
      <c r="E32" s="316"/>
      <c r="F32" s="316"/>
      <c r="G32" s="316"/>
      <c r="H32" s="4" t="s">
        <v>82</v>
      </c>
      <c r="I32" s="6" t="s">
        <v>31</v>
      </c>
      <c r="J32" s="6" t="s">
        <v>83</v>
      </c>
      <c r="K32" s="6" t="s">
        <v>83</v>
      </c>
      <c r="L32" s="32" t="s">
        <v>83</v>
      </c>
    </row>
    <row r="33" spans="1:17" ht="31" x14ac:dyDescent="0.3">
      <c r="A33" s="302" t="s">
        <v>84</v>
      </c>
      <c r="B33" s="229" t="s">
        <v>85</v>
      </c>
      <c r="C33" s="229" t="s">
        <v>25</v>
      </c>
      <c r="D33" s="243" t="s">
        <v>26</v>
      </c>
      <c r="E33" s="311">
        <f>SUM(E34:E36)+435800</f>
        <v>435800</v>
      </c>
      <c r="F33" s="311">
        <f>SUM(F34:F36)+434100</f>
        <v>434100</v>
      </c>
      <c r="G33" s="311">
        <f>SUM(G34:G36)+455800</f>
        <v>455800</v>
      </c>
      <c r="H33" s="3" t="s">
        <v>49</v>
      </c>
      <c r="I33" s="5" t="s">
        <v>50</v>
      </c>
      <c r="J33" s="5" t="s">
        <v>86</v>
      </c>
      <c r="K33" s="5" t="s">
        <v>87</v>
      </c>
      <c r="L33" s="31" t="s">
        <v>53</v>
      </c>
    </row>
    <row r="34" spans="1:17" ht="77.5" x14ac:dyDescent="0.3">
      <c r="A34" s="303"/>
      <c r="B34" s="205"/>
      <c r="C34" s="205"/>
      <c r="D34" s="197"/>
      <c r="E34" s="309">
        <v>0</v>
      </c>
      <c r="F34" s="309">
        <v>0</v>
      </c>
      <c r="G34" s="309">
        <v>0</v>
      </c>
      <c r="H34" s="4" t="s">
        <v>88</v>
      </c>
      <c r="I34" s="6" t="s">
        <v>28</v>
      </c>
      <c r="J34" s="6" t="s">
        <v>29</v>
      </c>
      <c r="K34" s="6" t="s">
        <v>29</v>
      </c>
      <c r="L34" s="32" t="s">
        <v>29</v>
      </c>
    </row>
    <row r="35" spans="1:17" ht="46.5" x14ac:dyDescent="0.3">
      <c r="A35" s="303"/>
      <c r="B35" s="205"/>
      <c r="C35" s="205"/>
      <c r="D35" s="197"/>
      <c r="E35" s="309">
        <v>0</v>
      </c>
      <c r="F35" s="309">
        <v>0</v>
      </c>
      <c r="G35" s="309">
        <v>0</v>
      </c>
      <c r="H35" s="4" t="s">
        <v>41</v>
      </c>
      <c r="I35" s="6" t="s">
        <v>28</v>
      </c>
      <c r="J35" s="6" t="s">
        <v>29</v>
      </c>
      <c r="K35" s="6" t="s">
        <v>29</v>
      </c>
      <c r="L35" s="32" t="s">
        <v>29</v>
      </c>
    </row>
    <row r="36" spans="1:17" ht="16" thickBot="1" x14ac:dyDescent="0.35">
      <c r="A36" s="303"/>
      <c r="B36" s="205"/>
      <c r="C36" s="205"/>
      <c r="D36" s="197"/>
      <c r="E36" s="309">
        <v>0</v>
      </c>
      <c r="F36" s="309">
        <v>0</v>
      </c>
      <c r="G36" s="309">
        <v>0</v>
      </c>
      <c r="H36" s="107" t="s">
        <v>82</v>
      </c>
      <c r="I36" s="97" t="s">
        <v>31</v>
      </c>
      <c r="J36" s="97" t="s">
        <v>89</v>
      </c>
      <c r="K36" s="97" t="s">
        <v>89</v>
      </c>
      <c r="L36" s="109" t="s">
        <v>89</v>
      </c>
    </row>
    <row r="37" spans="1:17" ht="32.25" customHeight="1" x14ac:dyDescent="0.3">
      <c r="A37" s="304" t="s">
        <v>90</v>
      </c>
      <c r="B37" s="227" t="s">
        <v>91</v>
      </c>
      <c r="C37" s="257" t="s">
        <v>25</v>
      </c>
      <c r="D37" s="257" t="s">
        <v>26</v>
      </c>
      <c r="E37" s="308">
        <f>SUM(E38:E41)+602000</f>
        <v>602000</v>
      </c>
      <c r="F37" s="308">
        <f>SUM(F38:F41)+631800</f>
        <v>631800</v>
      </c>
      <c r="G37" s="308">
        <f>SUM(G38:G41)+663700</f>
        <v>663700</v>
      </c>
      <c r="H37" s="57" t="s">
        <v>49</v>
      </c>
      <c r="I37" s="9" t="s">
        <v>50</v>
      </c>
      <c r="J37" s="9" t="s">
        <v>92</v>
      </c>
      <c r="K37" s="9" t="s">
        <v>93</v>
      </c>
      <c r="L37" s="58" t="s">
        <v>94</v>
      </c>
    </row>
    <row r="38" spans="1:17" ht="77.5" x14ac:dyDescent="0.3">
      <c r="A38" s="305"/>
      <c r="B38" s="205"/>
      <c r="C38" s="197"/>
      <c r="D38" s="197"/>
      <c r="E38" s="309"/>
      <c r="F38" s="309"/>
      <c r="G38" s="309"/>
      <c r="H38" s="4" t="s">
        <v>88</v>
      </c>
      <c r="I38" s="6" t="s">
        <v>28</v>
      </c>
      <c r="J38" s="6" t="s">
        <v>29</v>
      </c>
      <c r="K38" s="6" t="s">
        <v>29</v>
      </c>
      <c r="L38" s="67" t="s">
        <v>29</v>
      </c>
      <c r="O38" s="74"/>
      <c r="P38" s="74"/>
      <c r="Q38" s="74"/>
    </row>
    <row r="39" spans="1:17" ht="15.5" x14ac:dyDescent="0.3">
      <c r="A39" s="305"/>
      <c r="B39" s="205"/>
      <c r="C39" s="197"/>
      <c r="D39" s="197"/>
      <c r="E39" s="309"/>
      <c r="F39" s="309"/>
      <c r="G39" s="309"/>
      <c r="H39" s="4" t="s">
        <v>42</v>
      </c>
      <c r="I39" s="6" t="s">
        <v>31</v>
      </c>
      <c r="J39" s="6" t="s">
        <v>89</v>
      </c>
      <c r="K39" s="6" t="s">
        <v>89</v>
      </c>
      <c r="L39" s="67" t="s">
        <v>89</v>
      </c>
    </row>
    <row r="40" spans="1:17" ht="46.5" x14ac:dyDescent="0.3">
      <c r="A40" s="305"/>
      <c r="B40" s="205"/>
      <c r="C40" s="197"/>
      <c r="D40" s="197"/>
      <c r="E40" s="309"/>
      <c r="F40" s="309"/>
      <c r="G40" s="309"/>
      <c r="H40" s="4" t="s">
        <v>95</v>
      </c>
      <c r="I40" s="6" t="s">
        <v>28</v>
      </c>
      <c r="J40" s="6" t="s">
        <v>29</v>
      </c>
      <c r="K40" s="6" t="s">
        <v>29</v>
      </c>
      <c r="L40" s="67" t="s">
        <v>29</v>
      </c>
    </row>
    <row r="41" spans="1:17" ht="31.5" thickBot="1" x14ac:dyDescent="0.35">
      <c r="A41" s="306"/>
      <c r="B41" s="228"/>
      <c r="C41" s="307"/>
      <c r="D41" s="307"/>
      <c r="E41" s="310"/>
      <c r="F41" s="310"/>
      <c r="G41" s="310"/>
      <c r="H41" s="59" t="s">
        <v>96</v>
      </c>
      <c r="I41" s="10" t="s">
        <v>31</v>
      </c>
      <c r="J41" s="10" t="s">
        <v>58</v>
      </c>
      <c r="K41" s="10" t="s">
        <v>58</v>
      </c>
      <c r="L41" s="60" t="s">
        <v>58</v>
      </c>
    </row>
    <row r="42" spans="1:17" ht="31" x14ac:dyDescent="0.3">
      <c r="A42" s="303" t="s">
        <v>97</v>
      </c>
      <c r="B42" s="205" t="s">
        <v>98</v>
      </c>
      <c r="C42" s="205" t="s">
        <v>99</v>
      </c>
      <c r="D42" s="197" t="s">
        <v>26</v>
      </c>
      <c r="E42" s="317">
        <f t="shared" ref="E42:G42" si="0">SUM(E43:E45)+650000</f>
        <v>650000</v>
      </c>
      <c r="F42" s="317">
        <f t="shared" si="0"/>
        <v>650000</v>
      </c>
      <c r="G42" s="317">
        <f t="shared" si="0"/>
        <v>650000</v>
      </c>
      <c r="H42" s="104" t="s">
        <v>100</v>
      </c>
      <c r="I42" s="98" t="s">
        <v>28</v>
      </c>
      <c r="J42" s="98" t="s">
        <v>58</v>
      </c>
      <c r="K42" s="98" t="s">
        <v>101</v>
      </c>
      <c r="L42" s="106" t="s">
        <v>102</v>
      </c>
    </row>
    <row r="43" spans="1:17" ht="31" x14ac:dyDescent="0.3">
      <c r="A43" s="303"/>
      <c r="B43" s="205"/>
      <c r="C43" s="205"/>
      <c r="D43" s="197"/>
      <c r="E43" s="317">
        <v>0</v>
      </c>
      <c r="F43" s="317">
        <v>0</v>
      </c>
      <c r="G43" s="317">
        <v>0</v>
      </c>
      <c r="H43" s="4" t="s">
        <v>103</v>
      </c>
      <c r="I43" s="6" t="s">
        <v>31</v>
      </c>
      <c r="J43" s="6" t="s">
        <v>29</v>
      </c>
      <c r="K43" s="6" t="s">
        <v>104</v>
      </c>
      <c r="L43" s="32" t="s">
        <v>105</v>
      </c>
    </row>
    <row r="44" spans="1:17" ht="77.5" x14ac:dyDescent="0.3">
      <c r="A44" s="303"/>
      <c r="B44" s="205"/>
      <c r="C44" s="205"/>
      <c r="D44" s="197"/>
      <c r="E44" s="317">
        <v>0</v>
      </c>
      <c r="F44" s="317">
        <v>0</v>
      </c>
      <c r="G44" s="317">
        <v>0</v>
      </c>
      <c r="H44" s="4" t="s">
        <v>106</v>
      </c>
      <c r="I44" s="6" t="s">
        <v>28</v>
      </c>
      <c r="J44" s="6" t="s">
        <v>34</v>
      </c>
      <c r="K44" s="6" t="s">
        <v>107</v>
      </c>
      <c r="L44" s="32" t="s">
        <v>108</v>
      </c>
    </row>
    <row r="45" spans="1:17" ht="47" thickBot="1" x14ac:dyDescent="0.35">
      <c r="A45" s="313"/>
      <c r="B45" s="206"/>
      <c r="C45" s="206"/>
      <c r="D45" s="198"/>
      <c r="E45" s="256">
        <v>0</v>
      </c>
      <c r="F45" s="256">
        <v>0</v>
      </c>
      <c r="G45" s="256">
        <v>0</v>
      </c>
      <c r="H45" s="4" t="s">
        <v>109</v>
      </c>
      <c r="I45" s="6" t="s">
        <v>28</v>
      </c>
      <c r="J45" s="6" t="s">
        <v>110</v>
      </c>
      <c r="K45" s="6" t="s">
        <v>111</v>
      </c>
      <c r="L45" s="32" t="s">
        <v>112</v>
      </c>
    </row>
    <row r="46" spans="1:17" ht="31.5" thickBot="1" x14ac:dyDescent="0.35">
      <c r="A46" s="23" t="s">
        <v>113</v>
      </c>
      <c r="B46" s="27" t="s">
        <v>114</v>
      </c>
      <c r="C46" s="27" t="s">
        <v>68</v>
      </c>
      <c r="D46" s="7" t="s">
        <v>26</v>
      </c>
      <c r="E46" s="41">
        <v>50000</v>
      </c>
      <c r="F46" s="41">
        <v>50000</v>
      </c>
      <c r="G46" s="41"/>
      <c r="H46" s="27" t="s">
        <v>115</v>
      </c>
      <c r="I46" s="7" t="s">
        <v>31</v>
      </c>
      <c r="J46" s="7" t="s">
        <v>47</v>
      </c>
      <c r="K46" s="7" t="s">
        <v>47</v>
      </c>
      <c r="L46" s="73" t="s">
        <v>48</v>
      </c>
    </row>
    <row r="47" spans="1:17" ht="62.5" thickBot="1" x14ac:dyDescent="0.35">
      <c r="A47" s="82" t="s">
        <v>116</v>
      </c>
      <c r="B47" s="80" t="s">
        <v>117</v>
      </c>
      <c r="C47" s="80" t="s">
        <v>72</v>
      </c>
      <c r="D47" s="78"/>
      <c r="E47" s="90"/>
      <c r="F47" s="90"/>
      <c r="G47" s="90"/>
      <c r="H47" s="80" t="s">
        <v>118</v>
      </c>
      <c r="I47" s="78" t="s">
        <v>28</v>
      </c>
      <c r="J47" s="177" t="s">
        <v>105</v>
      </c>
      <c r="K47" s="177" t="s">
        <v>105</v>
      </c>
      <c r="L47" s="178" t="s">
        <v>105</v>
      </c>
    </row>
    <row r="48" spans="1:17" ht="15.65" customHeight="1" x14ac:dyDescent="0.3">
      <c r="A48" s="321" t="s">
        <v>119</v>
      </c>
      <c r="B48" s="318" t="s">
        <v>120</v>
      </c>
      <c r="C48" s="318" t="s">
        <v>121</v>
      </c>
      <c r="D48" s="271" t="s">
        <v>26</v>
      </c>
      <c r="E48" s="274">
        <f t="shared" ref="E48:F48" si="1">SUM(E49:E60)+30000</f>
        <v>30000</v>
      </c>
      <c r="F48" s="274">
        <f t="shared" si="1"/>
        <v>30000</v>
      </c>
      <c r="G48" s="274">
        <f t="shared" ref="G48" si="2">SUM(G49:G60)+30000</f>
        <v>30000</v>
      </c>
      <c r="H48" s="153" t="s">
        <v>122</v>
      </c>
      <c r="I48" s="122" t="s">
        <v>123</v>
      </c>
      <c r="J48" s="122" t="s">
        <v>124</v>
      </c>
      <c r="K48" s="122" t="s">
        <v>124</v>
      </c>
      <c r="L48" s="123" t="s">
        <v>124</v>
      </c>
    </row>
    <row r="49" spans="1:12" ht="36" customHeight="1" x14ac:dyDescent="0.3">
      <c r="A49" s="322"/>
      <c r="B49" s="319"/>
      <c r="C49" s="319"/>
      <c r="D49" s="272"/>
      <c r="E49" s="275"/>
      <c r="F49" s="275"/>
      <c r="G49" s="275"/>
      <c r="H49" s="139" t="s">
        <v>125</v>
      </c>
      <c r="I49" s="120" t="s">
        <v>31</v>
      </c>
      <c r="J49" s="120" t="s">
        <v>126</v>
      </c>
      <c r="K49" s="120" t="s">
        <v>126</v>
      </c>
      <c r="L49" s="124" t="s">
        <v>126</v>
      </c>
    </row>
    <row r="50" spans="1:12" ht="77.5" x14ac:dyDescent="0.3">
      <c r="A50" s="322"/>
      <c r="B50" s="319"/>
      <c r="C50" s="319"/>
      <c r="D50" s="272"/>
      <c r="E50" s="275"/>
      <c r="F50" s="275"/>
      <c r="G50" s="275"/>
      <c r="H50" s="139" t="s">
        <v>127</v>
      </c>
      <c r="I50" s="120" t="s">
        <v>31</v>
      </c>
      <c r="J50" s="120" t="s">
        <v>29</v>
      </c>
      <c r="K50" s="120" t="s">
        <v>29</v>
      </c>
      <c r="L50" s="124" t="s">
        <v>29</v>
      </c>
    </row>
    <row r="51" spans="1:12" ht="77.5" x14ac:dyDescent="0.3">
      <c r="A51" s="322"/>
      <c r="B51" s="319"/>
      <c r="C51" s="319"/>
      <c r="D51" s="272"/>
      <c r="E51" s="275"/>
      <c r="F51" s="275"/>
      <c r="G51" s="275"/>
      <c r="H51" s="139" t="s">
        <v>128</v>
      </c>
      <c r="I51" s="120" t="s">
        <v>28</v>
      </c>
      <c r="J51" s="120" t="s">
        <v>129</v>
      </c>
      <c r="K51" s="120" t="s">
        <v>129</v>
      </c>
      <c r="L51" s="124" t="s">
        <v>129</v>
      </c>
    </row>
    <row r="52" spans="1:12" ht="31" x14ac:dyDescent="0.3">
      <c r="A52" s="322"/>
      <c r="B52" s="319"/>
      <c r="C52" s="319"/>
      <c r="D52" s="272"/>
      <c r="E52" s="275"/>
      <c r="F52" s="275"/>
      <c r="G52" s="275"/>
      <c r="H52" s="139" t="s">
        <v>130</v>
      </c>
      <c r="I52" s="120" t="s">
        <v>31</v>
      </c>
      <c r="J52" s="120" t="s">
        <v>32</v>
      </c>
      <c r="K52" s="120" t="s">
        <v>32</v>
      </c>
      <c r="L52" s="124" t="s">
        <v>32</v>
      </c>
    </row>
    <row r="53" spans="1:12" ht="59.25" customHeight="1" x14ac:dyDescent="0.3">
      <c r="A53" s="322"/>
      <c r="B53" s="319"/>
      <c r="C53" s="319"/>
      <c r="D53" s="272"/>
      <c r="E53" s="275"/>
      <c r="F53" s="275"/>
      <c r="G53" s="275"/>
      <c r="H53" s="139" t="s">
        <v>131</v>
      </c>
      <c r="I53" s="120" t="s">
        <v>31</v>
      </c>
      <c r="J53" s="120" t="s">
        <v>132</v>
      </c>
      <c r="K53" s="120" t="s">
        <v>133</v>
      </c>
      <c r="L53" s="124" t="s">
        <v>133</v>
      </c>
    </row>
    <row r="54" spans="1:12" ht="62" x14ac:dyDescent="0.3">
      <c r="A54" s="322"/>
      <c r="B54" s="319"/>
      <c r="C54" s="319"/>
      <c r="D54" s="272"/>
      <c r="E54" s="275"/>
      <c r="F54" s="275"/>
      <c r="G54" s="275"/>
      <c r="H54" s="139" t="s">
        <v>134</v>
      </c>
      <c r="I54" s="120" t="s">
        <v>31</v>
      </c>
      <c r="J54" s="120" t="s">
        <v>135</v>
      </c>
      <c r="K54" s="120" t="s">
        <v>136</v>
      </c>
      <c r="L54" s="124" t="s">
        <v>136</v>
      </c>
    </row>
    <row r="55" spans="1:12" ht="78" thickBot="1" x14ac:dyDescent="0.35">
      <c r="A55" s="323"/>
      <c r="B55" s="320"/>
      <c r="C55" s="320"/>
      <c r="D55" s="273"/>
      <c r="E55" s="276"/>
      <c r="F55" s="276"/>
      <c r="G55" s="276"/>
      <c r="H55" s="154" t="s">
        <v>137</v>
      </c>
      <c r="I55" s="126" t="s">
        <v>28</v>
      </c>
      <c r="J55" s="126" t="s">
        <v>129</v>
      </c>
      <c r="K55" s="126" t="s">
        <v>138</v>
      </c>
      <c r="L55" s="127" t="s">
        <v>138</v>
      </c>
    </row>
    <row r="56" spans="1:12" ht="62" x14ac:dyDescent="0.3">
      <c r="A56" s="350"/>
      <c r="B56" s="197"/>
      <c r="C56" s="197"/>
      <c r="D56" s="197"/>
      <c r="E56" s="317"/>
      <c r="F56" s="317"/>
      <c r="G56" s="317"/>
      <c r="H56" s="93" t="s">
        <v>139</v>
      </c>
      <c r="I56" s="92" t="s">
        <v>28</v>
      </c>
      <c r="J56" s="92" t="s">
        <v>140</v>
      </c>
      <c r="K56" s="92" t="s">
        <v>34</v>
      </c>
      <c r="L56" s="91" t="s">
        <v>140</v>
      </c>
    </row>
    <row r="57" spans="1:12" ht="31" x14ac:dyDescent="0.3">
      <c r="A57" s="350"/>
      <c r="B57" s="197"/>
      <c r="C57" s="197"/>
      <c r="D57" s="197"/>
      <c r="E57" s="317"/>
      <c r="F57" s="317"/>
      <c r="G57" s="317"/>
      <c r="H57" s="4" t="s">
        <v>141</v>
      </c>
      <c r="I57" s="6" t="s">
        <v>31</v>
      </c>
      <c r="J57" s="6" t="s">
        <v>142</v>
      </c>
      <c r="K57" s="6" t="s">
        <v>142</v>
      </c>
      <c r="L57" s="32" t="s">
        <v>142</v>
      </c>
    </row>
    <row r="58" spans="1:12" ht="46.5" x14ac:dyDescent="0.3">
      <c r="A58" s="350"/>
      <c r="B58" s="197"/>
      <c r="C58" s="197"/>
      <c r="D58" s="197"/>
      <c r="E58" s="317"/>
      <c r="F58" s="317"/>
      <c r="G58" s="317"/>
      <c r="H58" s="4" t="s">
        <v>143</v>
      </c>
      <c r="I58" s="6" t="s">
        <v>31</v>
      </c>
      <c r="J58" s="6" t="s">
        <v>144</v>
      </c>
      <c r="K58" s="6" t="s">
        <v>144</v>
      </c>
      <c r="L58" s="32" t="s">
        <v>144</v>
      </c>
    </row>
    <row r="59" spans="1:12" ht="31" x14ac:dyDescent="0.3">
      <c r="A59" s="350"/>
      <c r="B59" s="197"/>
      <c r="C59" s="197"/>
      <c r="D59" s="197"/>
      <c r="E59" s="317"/>
      <c r="F59" s="317"/>
      <c r="G59" s="317"/>
      <c r="H59" s="4" t="s">
        <v>145</v>
      </c>
      <c r="I59" s="6" t="s">
        <v>31</v>
      </c>
      <c r="J59" s="6" t="s">
        <v>126</v>
      </c>
      <c r="K59" s="6" t="s">
        <v>126</v>
      </c>
      <c r="L59" s="32" t="s">
        <v>126</v>
      </c>
    </row>
    <row r="60" spans="1:12" ht="31.5" thickBot="1" x14ac:dyDescent="0.35">
      <c r="A60" s="351"/>
      <c r="B60" s="198"/>
      <c r="C60" s="198"/>
      <c r="D60" s="198"/>
      <c r="E60" s="256"/>
      <c r="F60" s="256"/>
      <c r="G60" s="256"/>
      <c r="H60" s="4" t="s">
        <v>146</v>
      </c>
      <c r="I60" s="6" t="s">
        <v>31</v>
      </c>
      <c r="J60" s="6" t="s">
        <v>147</v>
      </c>
      <c r="K60" s="6" t="s">
        <v>147</v>
      </c>
      <c r="L60" s="32" t="s">
        <v>147</v>
      </c>
    </row>
    <row r="61" spans="1:12" ht="68.25" customHeight="1" x14ac:dyDescent="0.3">
      <c r="A61" s="302" t="s">
        <v>148</v>
      </c>
      <c r="B61" s="229" t="s">
        <v>149</v>
      </c>
      <c r="C61" s="229" t="s">
        <v>121</v>
      </c>
      <c r="D61" s="243" t="s">
        <v>26</v>
      </c>
      <c r="E61" s="255">
        <f t="shared" ref="E61:G61" si="3">SUM(E62:E65)+10000</f>
        <v>10000</v>
      </c>
      <c r="F61" s="255">
        <f t="shared" si="3"/>
        <v>10000</v>
      </c>
      <c r="G61" s="255">
        <f t="shared" si="3"/>
        <v>10000</v>
      </c>
      <c r="H61" s="3" t="s">
        <v>131</v>
      </c>
      <c r="I61" s="5" t="s">
        <v>31</v>
      </c>
      <c r="J61" s="5" t="s">
        <v>150</v>
      </c>
      <c r="K61" s="5" t="s">
        <v>150</v>
      </c>
      <c r="L61" s="31" t="s">
        <v>150</v>
      </c>
    </row>
    <row r="62" spans="1:12" ht="15.5" x14ac:dyDescent="0.3">
      <c r="A62" s="303"/>
      <c r="B62" s="205"/>
      <c r="C62" s="205"/>
      <c r="D62" s="197"/>
      <c r="E62" s="317">
        <v>0</v>
      </c>
      <c r="F62" s="317">
        <v>0</v>
      </c>
      <c r="G62" s="317">
        <v>0</v>
      </c>
      <c r="H62" s="4" t="s">
        <v>151</v>
      </c>
      <c r="I62" s="6" t="s">
        <v>31</v>
      </c>
      <c r="J62" s="6" t="s">
        <v>58</v>
      </c>
      <c r="K62" s="6" t="s">
        <v>58</v>
      </c>
      <c r="L62" s="32" t="s">
        <v>58</v>
      </c>
    </row>
    <row r="63" spans="1:12" ht="67.5" customHeight="1" x14ac:dyDescent="0.3">
      <c r="A63" s="303"/>
      <c r="B63" s="205"/>
      <c r="C63" s="205"/>
      <c r="D63" s="197"/>
      <c r="E63" s="317">
        <v>0</v>
      </c>
      <c r="F63" s="317">
        <v>0</v>
      </c>
      <c r="G63" s="317">
        <v>0</v>
      </c>
      <c r="H63" s="4" t="s">
        <v>152</v>
      </c>
      <c r="I63" s="6" t="s">
        <v>31</v>
      </c>
      <c r="J63" s="6" t="s">
        <v>136</v>
      </c>
      <c r="K63" s="6" t="s">
        <v>153</v>
      </c>
      <c r="L63" s="32" t="s">
        <v>136</v>
      </c>
    </row>
    <row r="64" spans="1:12" ht="46.5" x14ac:dyDescent="0.3">
      <c r="A64" s="303"/>
      <c r="B64" s="205"/>
      <c r="C64" s="205"/>
      <c r="D64" s="197"/>
      <c r="E64" s="317">
        <v>0</v>
      </c>
      <c r="F64" s="317">
        <v>0</v>
      </c>
      <c r="G64" s="317">
        <v>0</v>
      </c>
      <c r="H64" s="4" t="s">
        <v>154</v>
      </c>
      <c r="I64" s="6" t="s">
        <v>31</v>
      </c>
      <c r="J64" s="6" t="s">
        <v>155</v>
      </c>
      <c r="K64" s="6" t="s">
        <v>155</v>
      </c>
      <c r="L64" s="32" t="s">
        <v>155</v>
      </c>
    </row>
    <row r="65" spans="1:14" ht="62.5" thickBot="1" x14ac:dyDescent="0.35">
      <c r="A65" s="313"/>
      <c r="B65" s="206"/>
      <c r="C65" s="206"/>
      <c r="D65" s="198"/>
      <c r="E65" s="256">
        <v>0</v>
      </c>
      <c r="F65" s="256">
        <v>0</v>
      </c>
      <c r="G65" s="256">
        <v>0</v>
      </c>
      <c r="H65" s="4" t="s">
        <v>156</v>
      </c>
      <c r="I65" s="6" t="s">
        <v>31</v>
      </c>
      <c r="J65" s="6" t="s">
        <v>29</v>
      </c>
      <c r="K65" s="6" t="s">
        <v>157</v>
      </c>
      <c r="L65" s="32" t="s">
        <v>158</v>
      </c>
    </row>
    <row r="66" spans="1:14" ht="78" thickBot="1" x14ac:dyDescent="0.35">
      <c r="A66" s="110" t="s">
        <v>159</v>
      </c>
      <c r="B66" s="96" t="s">
        <v>160</v>
      </c>
      <c r="C66" s="96" t="s">
        <v>161</v>
      </c>
      <c r="D66" s="101"/>
      <c r="E66" s="108"/>
      <c r="F66" s="108"/>
      <c r="G66" s="108"/>
      <c r="H66" s="96" t="s">
        <v>162</v>
      </c>
      <c r="I66" s="101" t="s">
        <v>28</v>
      </c>
      <c r="J66" s="101" t="s">
        <v>163</v>
      </c>
      <c r="K66" s="101" t="s">
        <v>163</v>
      </c>
      <c r="L66" s="105" t="s">
        <v>163</v>
      </c>
    </row>
    <row r="67" spans="1:14" ht="62.5" thickBot="1" x14ac:dyDescent="0.35">
      <c r="A67" s="112" t="s">
        <v>164</v>
      </c>
      <c r="B67" s="113" t="s">
        <v>165</v>
      </c>
      <c r="C67" s="113" t="s">
        <v>161</v>
      </c>
      <c r="D67" s="114"/>
      <c r="E67" s="115"/>
      <c r="F67" s="115"/>
      <c r="G67" s="115"/>
      <c r="H67" s="113" t="s">
        <v>166</v>
      </c>
      <c r="I67" s="114" t="s">
        <v>28</v>
      </c>
      <c r="J67" s="114" t="s">
        <v>167</v>
      </c>
      <c r="K67" s="114" t="s">
        <v>167</v>
      </c>
      <c r="L67" s="116" t="s">
        <v>167</v>
      </c>
    </row>
    <row r="68" spans="1:14" ht="108.5" x14ac:dyDescent="0.3">
      <c r="A68" s="303" t="s">
        <v>168</v>
      </c>
      <c r="B68" s="205" t="s">
        <v>169</v>
      </c>
      <c r="C68" s="205" t="s">
        <v>170</v>
      </c>
      <c r="D68" s="197"/>
      <c r="E68" s="317"/>
      <c r="F68" s="317"/>
      <c r="G68" s="317"/>
      <c r="H68" s="104" t="s">
        <v>171</v>
      </c>
      <c r="I68" s="98" t="s">
        <v>28</v>
      </c>
      <c r="J68" s="51" t="s">
        <v>29</v>
      </c>
      <c r="K68" s="51" t="s">
        <v>29</v>
      </c>
      <c r="L68" s="106" t="s">
        <v>29</v>
      </c>
    </row>
    <row r="69" spans="1:14" ht="47" thickBot="1" x14ac:dyDescent="0.35">
      <c r="A69" s="313"/>
      <c r="B69" s="206"/>
      <c r="C69" s="206"/>
      <c r="D69" s="198"/>
      <c r="E69" s="256"/>
      <c r="F69" s="256"/>
      <c r="G69" s="256"/>
      <c r="H69" s="4" t="s">
        <v>172</v>
      </c>
      <c r="I69" s="6" t="s">
        <v>31</v>
      </c>
      <c r="J69" s="63">
        <v>1</v>
      </c>
      <c r="K69" s="61" t="s">
        <v>48</v>
      </c>
      <c r="L69" s="62" t="s">
        <v>48</v>
      </c>
    </row>
    <row r="70" spans="1:14" ht="32.25" customHeight="1" thickBot="1" x14ac:dyDescent="0.35">
      <c r="A70" s="21" t="s">
        <v>173</v>
      </c>
      <c r="B70" s="185" t="s">
        <v>174</v>
      </c>
      <c r="C70" s="186"/>
      <c r="D70" s="187"/>
      <c r="E70" s="39">
        <f t="shared" ref="E70:G70" si="4">E71+E76+E77+E78+E82+E83+E84+E86+E87</f>
        <v>834000</v>
      </c>
      <c r="F70" s="39">
        <f t="shared" si="4"/>
        <v>834000</v>
      </c>
      <c r="G70" s="39">
        <f t="shared" si="4"/>
        <v>834000</v>
      </c>
      <c r="H70" s="191"/>
      <c r="I70" s="192"/>
      <c r="J70" s="192"/>
      <c r="K70" s="192"/>
      <c r="L70" s="193"/>
    </row>
    <row r="71" spans="1:14" ht="31" x14ac:dyDescent="0.3">
      <c r="A71" s="302" t="s">
        <v>175</v>
      </c>
      <c r="B71" s="229" t="s">
        <v>176</v>
      </c>
      <c r="C71" s="229" t="s">
        <v>177</v>
      </c>
      <c r="D71" s="243" t="s">
        <v>26</v>
      </c>
      <c r="E71" s="255">
        <f>SUM(E72:E75)+830000</f>
        <v>830000</v>
      </c>
      <c r="F71" s="255">
        <f>SUM(F72:F75)+830000</f>
        <v>830000</v>
      </c>
      <c r="G71" s="255">
        <f>SUM(G72:G75)+830000</f>
        <v>830000</v>
      </c>
      <c r="H71" s="3" t="s">
        <v>178</v>
      </c>
      <c r="I71" s="5" t="s">
        <v>31</v>
      </c>
      <c r="J71" s="5" t="s">
        <v>179</v>
      </c>
      <c r="K71" s="5" t="s">
        <v>58</v>
      </c>
      <c r="L71" s="31" t="s">
        <v>58</v>
      </c>
    </row>
    <row r="72" spans="1:14" ht="15.5" x14ac:dyDescent="0.3">
      <c r="A72" s="303"/>
      <c r="B72" s="205"/>
      <c r="C72" s="205"/>
      <c r="D72" s="197"/>
      <c r="E72" s="317">
        <v>0</v>
      </c>
      <c r="F72" s="317">
        <v>0</v>
      </c>
      <c r="G72" s="317">
        <v>0</v>
      </c>
      <c r="H72" s="4" t="s">
        <v>180</v>
      </c>
      <c r="I72" s="6" t="s">
        <v>31</v>
      </c>
      <c r="J72" s="6" t="s">
        <v>29</v>
      </c>
      <c r="K72" s="6" t="s">
        <v>29</v>
      </c>
      <c r="L72" s="32" t="s">
        <v>29</v>
      </c>
    </row>
    <row r="73" spans="1:14" ht="46.5" x14ac:dyDescent="0.3">
      <c r="A73" s="303"/>
      <c r="B73" s="205"/>
      <c r="C73" s="205"/>
      <c r="D73" s="197"/>
      <c r="E73" s="317">
        <v>0</v>
      </c>
      <c r="F73" s="317">
        <v>0</v>
      </c>
      <c r="G73" s="317">
        <v>0</v>
      </c>
      <c r="H73" s="4" t="s">
        <v>181</v>
      </c>
      <c r="I73" s="6" t="s">
        <v>28</v>
      </c>
      <c r="J73" s="6" t="s">
        <v>182</v>
      </c>
      <c r="K73" s="6" t="s">
        <v>182</v>
      </c>
      <c r="L73" s="32" t="s">
        <v>182</v>
      </c>
    </row>
    <row r="74" spans="1:14" ht="46.5" x14ac:dyDescent="0.3">
      <c r="A74" s="303"/>
      <c r="B74" s="205"/>
      <c r="C74" s="205"/>
      <c r="D74" s="197"/>
      <c r="E74" s="317">
        <v>0</v>
      </c>
      <c r="F74" s="317">
        <v>0</v>
      </c>
      <c r="G74" s="317">
        <v>0</v>
      </c>
      <c r="H74" s="4" t="s">
        <v>183</v>
      </c>
      <c r="I74" s="6" t="s">
        <v>123</v>
      </c>
      <c r="J74" s="6" t="s">
        <v>184</v>
      </c>
      <c r="K74" s="6" t="s">
        <v>185</v>
      </c>
      <c r="L74" s="32" t="s">
        <v>186</v>
      </c>
    </row>
    <row r="75" spans="1:14" ht="39" customHeight="1" x14ac:dyDescent="0.3">
      <c r="A75" s="313"/>
      <c r="B75" s="206"/>
      <c r="C75" s="206"/>
      <c r="D75" s="198"/>
      <c r="E75" s="256">
        <v>0</v>
      </c>
      <c r="F75" s="256">
        <v>0</v>
      </c>
      <c r="G75" s="256">
        <v>0</v>
      </c>
      <c r="H75" s="4" t="s">
        <v>187</v>
      </c>
      <c r="I75" s="6" t="s">
        <v>31</v>
      </c>
      <c r="J75" s="6" t="s">
        <v>47</v>
      </c>
      <c r="K75" s="76" t="s">
        <v>48</v>
      </c>
      <c r="L75" s="71" t="s">
        <v>48</v>
      </c>
      <c r="M75" s="358"/>
      <c r="N75" s="359"/>
    </row>
    <row r="76" spans="1:14" ht="62" x14ac:dyDescent="0.3">
      <c r="A76" s="22" t="s">
        <v>188</v>
      </c>
      <c r="B76" s="3" t="s">
        <v>189</v>
      </c>
      <c r="C76" s="3" t="s">
        <v>177</v>
      </c>
      <c r="D76" s="5"/>
      <c r="E76" s="42"/>
      <c r="F76" s="42"/>
      <c r="G76" s="42"/>
      <c r="H76" s="3" t="s">
        <v>190</v>
      </c>
      <c r="I76" s="5" t="s">
        <v>31</v>
      </c>
      <c r="J76" s="5" t="s">
        <v>47</v>
      </c>
      <c r="K76" s="5" t="s">
        <v>48</v>
      </c>
      <c r="L76" s="31" t="s">
        <v>48</v>
      </c>
    </row>
    <row r="77" spans="1:14" ht="78" thickBot="1" x14ac:dyDescent="0.35">
      <c r="A77" s="110" t="s">
        <v>191</v>
      </c>
      <c r="B77" s="96" t="s">
        <v>192</v>
      </c>
      <c r="C77" s="96" t="s">
        <v>193</v>
      </c>
      <c r="D77" s="101"/>
      <c r="E77" s="108"/>
      <c r="F77" s="108"/>
      <c r="G77" s="108"/>
      <c r="H77" s="96" t="s">
        <v>194</v>
      </c>
      <c r="I77" s="101" t="s">
        <v>28</v>
      </c>
      <c r="J77" s="101" t="s">
        <v>133</v>
      </c>
      <c r="K77" s="101" t="s">
        <v>147</v>
      </c>
      <c r="L77" s="105" t="s">
        <v>140</v>
      </c>
    </row>
    <row r="78" spans="1:14" ht="46.5" x14ac:dyDescent="0.3">
      <c r="A78" s="304" t="s">
        <v>195</v>
      </c>
      <c r="B78" s="227" t="s">
        <v>196</v>
      </c>
      <c r="C78" s="227" t="s">
        <v>197</v>
      </c>
      <c r="D78" s="257" t="s">
        <v>26</v>
      </c>
      <c r="E78" s="324">
        <f t="shared" ref="E78:G78" si="5">SUM(E79:E81)+4000</f>
        <v>4000</v>
      </c>
      <c r="F78" s="324">
        <f t="shared" si="5"/>
        <v>4000</v>
      </c>
      <c r="G78" s="324">
        <f t="shared" si="5"/>
        <v>4000</v>
      </c>
      <c r="H78" s="57" t="s">
        <v>198</v>
      </c>
      <c r="I78" s="9" t="s">
        <v>28</v>
      </c>
      <c r="J78" s="9" t="s">
        <v>199</v>
      </c>
      <c r="K78" s="9" t="s">
        <v>200</v>
      </c>
      <c r="L78" s="58" t="s">
        <v>201</v>
      </c>
    </row>
    <row r="79" spans="1:14" ht="31" x14ac:dyDescent="0.3">
      <c r="A79" s="305"/>
      <c r="B79" s="205"/>
      <c r="C79" s="205"/>
      <c r="D79" s="197"/>
      <c r="E79" s="317">
        <v>0</v>
      </c>
      <c r="F79" s="317">
        <v>0</v>
      </c>
      <c r="G79" s="317">
        <v>0</v>
      </c>
      <c r="H79" s="4" t="s">
        <v>202</v>
      </c>
      <c r="I79" s="6" t="s">
        <v>31</v>
      </c>
      <c r="J79" s="6" t="s">
        <v>203</v>
      </c>
      <c r="K79" s="6" t="s">
        <v>203</v>
      </c>
      <c r="L79" s="67" t="s">
        <v>203</v>
      </c>
    </row>
    <row r="80" spans="1:14" ht="46.5" x14ac:dyDescent="0.3">
      <c r="A80" s="305"/>
      <c r="B80" s="205"/>
      <c r="C80" s="205"/>
      <c r="D80" s="197"/>
      <c r="E80" s="317">
        <v>0</v>
      </c>
      <c r="F80" s="317">
        <v>0</v>
      </c>
      <c r="G80" s="317">
        <v>0</v>
      </c>
      <c r="H80" s="4" t="s">
        <v>204</v>
      </c>
      <c r="I80" s="6" t="s">
        <v>31</v>
      </c>
      <c r="J80" s="6" t="s">
        <v>47</v>
      </c>
      <c r="K80" s="6" t="s">
        <v>47</v>
      </c>
      <c r="L80" s="67" t="s">
        <v>47</v>
      </c>
    </row>
    <row r="81" spans="1:12" ht="51" customHeight="1" thickBot="1" x14ac:dyDescent="0.35">
      <c r="A81" s="306"/>
      <c r="B81" s="228"/>
      <c r="C81" s="228"/>
      <c r="D81" s="307"/>
      <c r="E81" s="325">
        <v>0</v>
      </c>
      <c r="F81" s="325">
        <v>0</v>
      </c>
      <c r="G81" s="325">
        <v>0</v>
      </c>
      <c r="H81" s="59" t="s">
        <v>205</v>
      </c>
      <c r="I81" s="10" t="s">
        <v>31</v>
      </c>
      <c r="J81" s="10" t="s">
        <v>47</v>
      </c>
      <c r="K81" s="10" t="s">
        <v>47</v>
      </c>
      <c r="L81" s="60" t="s">
        <v>47</v>
      </c>
    </row>
    <row r="82" spans="1:12" ht="81" customHeight="1" thickBot="1" x14ac:dyDescent="0.35">
      <c r="A82" s="66" t="s">
        <v>206</v>
      </c>
      <c r="B82" s="104" t="s">
        <v>207</v>
      </c>
      <c r="C82" s="104" t="s">
        <v>161</v>
      </c>
      <c r="D82" s="98"/>
      <c r="E82" s="103"/>
      <c r="F82" s="103"/>
      <c r="G82" s="103"/>
      <c r="H82" s="104" t="s">
        <v>208</v>
      </c>
      <c r="I82" s="98" t="s">
        <v>28</v>
      </c>
      <c r="J82" s="98" t="s">
        <v>29</v>
      </c>
      <c r="K82" s="98" t="s">
        <v>29</v>
      </c>
      <c r="L82" s="106" t="s">
        <v>29</v>
      </c>
    </row>
    <row r="83" spans="1:12" ht="62.5" thickBot="1" x14ac:dyDescent="0.35">
      <c r="A83" s="22" t="s">
        <v>209</v>
      </c>
      <c r="B83" s="3" t="s">
        <v>210</v>
      </c>
      <c r="C83" s="3" t="s">
        <v>211</v>
      </c>
      <c r="D83" s="5"/>
      <c r="E83" s="42"/>
      <c r="F83" s="42"/>
      <c r="G83" s="42"/>
      <c r="H83" s="3" t="s">
        <v>212</v>
      </c>
      <c r="I83" s="5" t="s">
        <v>28</v>
      </c>
      <c r="J83" s="64">
        <v>10</v>
      </c>
      <c r="K83" s="64">
        <v>12</v>
      </c>
      <c r="L83" s="65">
        <v>14</v>
      </c>
    </row>
    <row r="84" spans="1:12" ht="62" x14ac:dyDescent="0.3">
      <c r="A84" s="302" t="s">
        <v>213</v>
      </c>
      <c r="B84" s="229" t="s">
        <v>214</v>
      </c>
      <c r="C84" s="229" t="s">
        <v>215</v>
      </c>
      <c r="D84" s="243"/>
      <c r="E84" s="255"/>
      <c r="F84" s="255"/>
      <c r="G84" s="255"/>
      <c r="H84" s="3" t="s">
        <v>212</v>
      </c>
      <c r="I84" s="5" t="s">
        <v>28</v>
      </c>
      <c r="J84" s="5" t="s">
        <v>216</v>
      </c>
      <c r="K84" s="5" t="s">
        <v>217</v>
      </c>
      <c r="L84" s="31" t="s">
        <v>218</v>
      </c>
    </row>
    <row r="85" spans="1:12" ht="93.5" thickBot="1" x14ac:dyDescent="0.35">
      <c r="A85" s="313"/>
      <c r="B85" s="206"/>
      <c r="C85" s="206"/>
      <c r="D85" s="198"/>
      <c r="E85" s="256"/>
      <c r="F85" s="256"/>
      <c r="G85" s="256"/>
      <c r="H85" s="4" t="s">
        <v>219</v>
      </c>
      <c r="I85" s="6" t="s">
        <v>28</v>
      </c>
      <c r="J85" s="6" t="s">
        <v>220</v>
      </c>
      <c r="K85" s="6" t="s">
        <v>220</v>
      </c>
      <c r="L85" s="32" t="s">
        <v>220</v>
      </c>
    </row>
    <row r="86" spans="1:12" ht="78" thickBot="1" x14ac:dyDescent="0.35">
      <c r="A86" s="22" t="s">
        <v>221</v>
      </c>
      <c r="B86" s="3" t="s">
        <v>222</v>
      </c>
      <c r="C86" s="3" t="s">
        <v>223</v>
      </c>
      <c r="D86" s="5"/>
      <c r="E86" s="42"/>
      <c r="F86" s="42"/>
      <c r="G86" s="42"/>
      <c r="H86" s="3" t="s">
        <v>224</v>
      </c>
      <c r="I86" s="5" t="s">
        <v>225</v>
      </c>
      <c r="J86" s="5" t="s">
        <v>89</v>
      </c>
      <c r="K86" s="5" t="s">
        <v>179</v>
      </c>
      <c r="L86" s="31" t="s">
        <v>226</v>
      </c>
    </row>
    <row r="87" spans="1:12" ht="115.5" customHeight="1" thickBot="1" x14ac:dyDescent="0.35">
      <c r="A87" s="22" t="s">
        <v>227</v>
      </c>
      <c r="B87" s="3" t="s">
        <v>228</v>
      </c>
      <c r="C87" s="3" t="s">
        <v>229</v>
      </c>
      <c r="D87" s="5"/>
      <c r="E87" s="42"/>
      <c r="F87" s="42"/>
      <c r="G87" s="42"/>
      <c r="H87" s="3" t="s">
        <v>230</v>
      </c>
      <c r="I87" s="5" t="s">
        <v>225</v>
      </c>
      <c r="J87" s="5" t="s">
        <v>220</v>
      </c>
      <c r="K87" s="5" t="s">
        <v>75</v>
      </c>
      <c r="L87" s="31" t="s">
        <v>231</v>
      </c>
    </row>
    <row r="88" spans="1:12" ht="32.25" customHeight="1" thickBot="1" x14ac:dyDescent="0.35">
      <c r="A88" s="21" t="s">
        <v>232</v>
      </c>
      <c r="B88" s="185" t="s">
        <v>233</v>
      </c>
      <c r="C88" s="186"/>
      <c r="D88" s="187"/>
      <c r="E88" s="43">
        <v>0</v>
      </c>
      <c r="F88" s="43">
        <v>0</v>
      </c>
      <c r="G88" s="43">
        <v>0</v>
      </c>
      <c r="H88" s="191"/>
      <c r="I88" s="192"/>
      <c r="J88" s="192"/>
      <c r="K88" s="192"/>
      <c r="L88" s="193"/>
    </row>
    <row r="89" spans="1:12" ht="32.25" customHeight="1" thickBot="1" x14ac:dyDescent="0.35">
      <c r="A89" s="117" t="s">
        <v>234</v>
      </c>
      <c r="B89" s="215" t="s">
        <v>235</v>
      </c>
      <c r="C89" s="216"/>
      <c r="D89" s="217"/>
      <c r="E89" s="118">
        <f t="shared" ref="E89:G89" si="6">E90+E93</f>
        <v>39000</v>
      </c>
      <c r="F89" s="118">
        <f t="shared" si="6"/>
        <v>0</v>
      </c>
      <c r="G89" s="118">
        <f t="shared" si="6"/>
        <v>19000</v>
      </c>
      <c r="H89" s="218"/>
      <c r="I89" s="219"/>
      <c r="J89" s="219"/>
      <c r="K89" s="219"/>
      <c r="L89" s="220"/>
    </row>
    <row r="90" spans="1:12" ht="66" customHeight="1" x14ac:dyDescent="0.3">
      <c r="A90" s="321" t="s">
        <v>236</v>
      </c>
      <c r="B90" s="318" t="s">
        <v>237</v>
      </c>
      <c r="C90" s="318" t="s">
        <v>238</v>
      </c>
      <c r="D90" s="271"/>
      <c r="E90" s="274"/>
      <c r="F90" s="274"/>
      <c r="G90" s="274"/>
      <c r="H90" s="153" t="s">
        <v>239</v>
      </c>
      <c r="I90" s="122" t="s">
        <v>28</v>
      </c>
      <c r="J90" s="122" t="s">
        <v>240</v>
      </c>
      <c r="K90" s="122" t="s">
        <v>241</v>
      </c>
      <c r="L90" s="123" t="s">
        <v>242</v>
      </c>
    </row>
    <row r="91" spans="1:12" ht="47" thickBot="1" x14ac:dyDescent="0.35">
      <c r="A91" s="323"/>
      <c r="B91" s="320"/>
      <c r="C91" s="320"/>
      <c r="D91" s="273"/>
      <c r="E91" s="276"/>
      <c r="F91" s="276"/>
      <c r="G91" s="276"/>
      <c r="H91" s="154" t="s">
        <v>243</v>
      </c>
      <c r="I91" s="126" t="s">
        <v>28</v>
      </c>
      <c r="J91" s="126" t="s">
        <v>29</v>
      </c>
      <c r="K91" s="126" t="s">
        <v>29</v>
      </c>
      <c r="L91" s="127" t="s">
        <v>29</v>
      </c>
    </row>
    <row r="92" spans="1:12" ht="62.5" thickBot="1" x14ac:dyDescent="0.35">
      <c r="A92" s="133"/>
      <c r="B92" s="79"/>
      <c r="C92" s="79"/>
      <c r="D92" s="79"/>
      <c r="E92" s="89"/>
      <c r="F92" s="89"/>
      <c r="G92" s="89"/>
      <c r="H92" s="93" t="s">
        <v>244</v>
      </c>
      <c r="I92" s="92" t="s">
        <v>31</v>
      </c>
      <c r="J92" s="92" t="s">
        <v>47</v>
      </c>
      <c r="K92" s="92" t="s">
        <v>48</v>
      </c>
      <c r="L92" s="91" t="s">
        <v>48</v>
      </c>
    </row>
    <row r="93" spans="1:12" ht="46.5" x14ac:dyDescent="0.3">
      <c r="A93" s="302" t="s">
        <v>245</v>
      </c>
      <c r="B93" s="229" t="s">
        <v>246</v>
      </c>
      <c r="C93" s="229" t="s">
        <v>197</v>
      </c>
      <c r="D93" s="243" t="s">
        <v>26</v>
      </c>
      <c r="E93" s="255">
        <f>SUM(E94:E95)+39000</f>
        <v>39000</v>
      </c>
      <c r="F93" s="255"/>
      <c r="G93" s="255">
        <f>SUM(G94:G95)+19000</f>
        <v>19000</v>
      </c>
      <c r="H93" s="55" t="s">
        <v>247</v>
      </c>
      <c r="I93" s="56" t="s">
        <v>31</v>
      </c>
      <c r="J93" s="5" t="s">
        <v>32</v>
      </c>
      <c r="K93" s="68" t="s">
        <v>32</v>
      </c>
      <c r="L93" s="31" t="s">
        <v>32</v>
      </c>
    </row>
    <row r="94" spans="1:12" ht="31" x14ac:dyDescent="0.3">
      <c r="A94" s="303"/>
      <c r="B94" s="205"/>
      <c r="C94" s="205"/>
      <c r="D94" s="197"/>
      <c r="E94" s="317">
        <v>0</v>
      </c>
      <c r="F94" s="317"/>
      <c r="G94" s="317">
        <v>0</v>
      </c>
      <c r="H94" s="4" t="s">
        <v>248</v>
      </c>
      <c r="I94" s="6" t="s">
        <v>31</v>
      </c>
      <c r="J94" s="6" t="s">
        <v>47</v>
      </c>
      <c r="K94" s="6" t="s">
        <v>48</v>
      </c>
      <c r="L94" s="32" t="s">
        <v>47</v>
      </c>
    </row>
    <row r="95" spans="1:12" ht="31" x14ac:dyDescent="0.3">
      <c r="A95" s="313"/>
      <c r="B95" s="206"/>
      <c r="C95" s="206"/>
      <c r="D95" s="198"/>
      <c r="E95" s="256">
        <v>0</v>
      </c>
      <c r="F95" s="256"/>
      <c r="G95" s="256">
        <v>0</v>
      </c>
      <c r="H95" s="4" t="s">
        <v>249</v>
      </c>
      <c r="I95" s="6" t="s">
        <v>31</v>
      </c>
      <c r="J95" s="6" t="s">
        <v>47</v>
      </c>
      <c r="K95" s="6" t="s">
        <v>48</v>
      </c>
      <c r="L95" s="32" t="s">
        <v>48</v>
      </c>
    </row>
    <row r="96" spans="1:12" ht="32.25" customHeight="1" thickBot="1" x14ac:dyDescent="0.35">
      <c r="A96" s="21" t="s">
        <v>250</v>
      </c>
      <c r="B96" s="185" t="s">
        <v>251</v>
      </c>
      <c r="C96" s="186"/>
      <c r="D96" s="187"/>
      <c r="E96" s="39">
        <f>E97+E98+E102+E105+E107+E115</f>
        <v>6340953.6699999999</v>
      </c>
      <c r="F96" s="39">
        <f>F97+F98+F102+F105+F107+F115</f>
        <v>6574936</v>
      </c>
      <c r="G96" s="39">
        <f>G97+G98+G102+G105+G107+G115</f>
        <v>8319511</v>
      </c>
      <c r="H96" s="191"/>
      <c r="I96" s="192"/>
      <c r="J96" s="192"/>
      <c r="K96" s="192"/>
      <c r="L96" s="193"/>
    </row>
    <row r="97" spans="1:14" ht="84" customHeight="1" thickBot="1" x14ac:dyDescent="0.35">
      <c r="A97" s="22" t="s">
        <v>252</v>
      </c>
      <c r="B97" s="3" t="s">
        <v>253</v>
      </c>
      <c r="C97" s="3" t="s">
        <v>161</v>
      </c>
      <c r="D97" s="5" t="s">
        <v>26</v>
      </c>
      <c r="E97" s="42">
        <v>3517781</v>
      </c>
      <c r="F97" s="42">
        <v>2699148</v>
      </c>
      <c r="G97" s="42">
        <v>2699148</v>
      </c>
      <c r="H97" s="3" t="s">
        <v>254</v>
      </c>
      <c r="I97" s="5" t="s">
        <v>31</v>
      </c>
      <c r="J97" s="5" t="s">
        <v>32</v>
      </c>
      <c r="K97" s="5" t="s">
        <v>60</v>
      </c>
      <c r="L97" s="31" t="s">
        <v>255</v>
      </c>
    </row>
    <row r="98" spans="1:14" ht="31" x14ac:dyDescent="0.3">
      <c r="A98" s="302" t="s">
        <v>256</v>
      </c>
      <c r="B98" s="229" t="s">
        <v>257</v>
      </c>
      <c r="C98" s="229" t="s">
        <v>258</v>
      </c>
      <c r="D98" s="243"/>
      <c r="E98" s="255"/>
      <c r="F98" s="255"/>
      <c r="G98" s="255"/>
      <c r="H98" s="3" t="s">
        <v>259</v>
      </c>
      <c r="I98" s="5" t="s">
        <v>28</v>
      </c>
      <c r="J98" s="5" t="s">
        <v>47</v>
      </c>
      <c r="K98" s="5" t="s">
        <v>203</v>
      </c>
      <c r="L98" s="31" t="s">
        <v>203</v>
      </c>
    </row>
    <row r="99" spans="1:14" ht="62" x14ac:dyDescent="0.3">
      <c r="A99" s="303"/>
      <c r="B99" s="205"/>
      <c r="C99" s="205"/>
      <c r="D99" s="197"/>
      <c r="E99" s="317"/>
      <c r="F99" s="317"/>
      <c r="G99" s="317"/>
      <c r="H99" s="4" t="s">
        <v>260</v>
      </c>
      <c r="I99" s="6" t="s">
        <v>28</v>
      </c>
      <c r="J99" s="6" t="s">
        <v>167</v>
      </c>
      <c r="K99" s="6" t="s">
        <v>167</v>
      </c>
      <c r="L99" s="32" t="s">
        <v>167</v>
      </c>
    </row>
    <row r="100" spans="1:14" ht="93" customHeight="1" x14ac:dyDescent="0.3">
      <c r="A100" s="303"/>
      <c r="B100" s="205"/>
      <c r="C100" s="205"/>
      <c r="D100" s="197"/>
      <c r="E100" s="317"/>
      <c r="F100" s="317"/>
      <c r="G100" s="317"/>
      <c r="H100" s="4" t="s">
        <v>261</v>
      </c>
      <c r="I100" s="6" t="s">
        <v>31</v>
      </c>
      <c r="J100" s="6" t="s">
        <v>262</v>
      </c>
      <c r="K100" s="6" t="s">
        <v>262</v>
      </c>
      <c r="L100" s="32" t="s">
        <v>262</v>
      </c>
    </row>
    <row r="101" spans="1:14" ht="47" thickBot="1" x14ac:dyDescent="0.35">
      <c r="A101" s="303"/>
      <c r="B101" s="205"/>
      <c r="C101" s="205"/>
      <c r="D101" s="197"/>
      <c r="E101" s="317"/>
      <c r="F101" s="317"/>
      <c r="G101" s="317"/>
      <c r="H101" s="107" t="s">
        <v>263</v>
      </c>
      <c r="I101" s="97" t="s">
        <v>31</v>
      </c>
      <c r="J101" s="97" t="s">
        <v>264</v>
      </c>
      <c r="K101" s="97" t="s">
        <v>265</v>
      </c>
      <c r="L101" s="109" t="s">
        <v>265</v>
      </c>
    </row>
    <row r="102" spans="1:14" ht="84" customHeight="1" x14ac:dyDescent="0.3">
      <c r="A102" s="304" t="s">
        <v>266</v>
      </c>
      <c r="B102" s="227" t="s">
        <v>267</v>
      </c>
      <c r="C102" s="227" t="s">
        <v>258</v>
      </c>
      <c r="D102" s="9" t="s">
        <v>268</v>
      </c>
      <c r="E102" s="45">
        <f t="shared" ref="E102:G102" si="7">SUM(E103:E104)</f>
        <v>1905093</v>
      </c>
      <c r="F102" s="45">
        <f t="shared" si="7"/>
        <v>1944788</v>
      </c>
      <c r="G102" s="45">
        <f t="shared" si="7"/>
        <v>1114363</v>
      </c>
      <c r="H102" s="57" t="s">
        <v>269</v>
      </c>
      <c r="I102" s="163" t="s">
        <v>28</v>
      </c>
      <c r="J102" s="163" t="s">
        <v>142</v>
      </c>
      <c r="K102" s="163" t="s">
        <v>48</v>
      </c>
      <c r="L102" s="164" t="s">
        <v>48</v>
      </c>
      <c r="M102" s="352"/>
      <c r="N102" s="353"/>
    </row>
    <row r="103" spans="1:14" ht="109" thickBot="1" x14ac:dyDescent="0.35">
      <c r="A103" s="306"/>
      <c r="B103" s="228"/>
      <c r="C103" s="228"/>
      <c r="D103" s="10" t="s">
        <v>270</v>
      </c>
      <c r="E103" s="46">
        <v>905093</v>
      </c>
      <c r="F103" s="46">
        <v>644788</v>
      </c>
      <c r="G103" s="46">
        <v>114363</v>
      </c>
      <c r="H103" s="59" t="s">
        <v>271</v>
      </c>
      <c r="I103" s="165" t="s">
        <v>28</v>
      </c>
      <c r="J103" s="165" t="s">
        <v>272</v>
      </c>
      <c r="K103" s="165" t="s">
        <v>48</v>
      </c>
      <c r="L103" s="166" t="s">
        <v>48</v>
      </c>
      <c r="M103" s="352"/>
      <c r="N103" s="353"/>
    </row>
    <row r="104" spans="1:14" ht="93.5" thickBot="1" x14ac:dyDescent="0.35">
      <c r="A104" s="140"/>
      <c r="B104" s="141"/>
      <c r="C104" s="141"/>
      <c r="D104" s="143" t="s">
        <v>26</v>
      </c>
      <c r="E104" s="150">
        <v>1000000</v>
      </c>
      <c r="F104" s="150">
        <v>1300000</v>
      </c>
      <c r="G104" s="150">
        <v>1000000</v>
      </c>
      <c r="H104" s="145" t="s">
        <v>273</v>
      </c>
      <c r="I104" s="146" t="s">
        <v>28</v>
      </c>
      <c r="J104" s="146" t="s">
        <v>274</v>
      </c>
      <c r="K104" s="146" t="s">
        <v>89</v>
      </c>
      <c r="L104" s="147" t="s">
        <v>48</v>
      </c>
      <c r="M104" s="352"/>
      <c r="N104" s="353"/>
    </row>
    <row r="105" spans="1:14" ht="46.5" x14ac:dyDescent="0.3">
      <c r="A105" s="305" t="s">
        <v>275</v>
      </c>
      <c r="B105" s="205" t="s">
        <v>276</v>
      </c>
      <c r="C105" s="205" t="s">
        <v>258</v>
      </c>
      <c r="D105" s="197" t="s">
        <v>270</v>
      </c>
      <c r="E105" s="317">
        <v>89000</v>
      </c>
      <c r="F105" s="317">
        <v>9000</v>
      </c>
      <c r="G105" s="317">
        <v>9000</v>
      </c>
      <c r="H105" s="93" t="s">
        <v>277</v>
      </c>
      <c r="I105" s="92" t="s">
        <v>28</v>
      </c>
      <c r="J105" s="92" t="s">
        <v>29</v>
      </c>
      <c r="K105" s="92" t="s">
        <v>29</v>
      </c>
      <c r="L105" s="155" t="s">
        <v>29</v>
      </c>
    </row>
    <row r="106" spans="1:14" ht="31.5" customHeight="1" thickBot="1" x14ac:dyDescent="0.35">
      <c r="A106" s="306"/>
      <c r="B106" s="228"/>
      <c r="C106" s="228"/>
      <c r="D106" s="307"/>
      <c r="E106" s="325"/>
      <c r="F106" s="325"/>
      <c r="G106" s="325"/>
      <c r="H106" s="59" t="s">
        <v>278</v>
      </c>
      <c r="I106" s="10" t="s">
        <v>28</v>
      </c>
      <c r="J106" s="10" t="s">
        <v>29</v>
      </c>
      <c r="K106" s="10" t="s">
        <v>29</v>
      </c>
      <c r="L106" s="60" t="s">
        <v>29</v>
      </c>
    </row>
    <row r="107" spans="1:14" ht="46.5" x14ac:dyDescent="0.3">
      <c r="A107" s="303" t="s">
        <v>279</v>
      </c>
      <c r="B107" s="205" t="s">
        <v>280</v>
      </c>
      <c r="C107" s="205" t="s">
        <v>258</v>
      </c>
      <c r="D107" s="197" t="s">
        <v>270</v>
      </c>
      <c r="E107" s="317">
        <f>SUM(E108:E114)+742100.67</f>
        <v>742100.67</v>
      </c>
      <c r="F107" s="317">
        <f>SUM(F108:F114)+344000</f>
        <v>344000</v>
      </c>
      <c r="G107" s="317">
        <f>SUM(G108:G114)+253000</f>
        <v>253000</v>
      </c>
      <c r="H107" s="53" t="s">
        <v>281</v>
      </c>
      <c r="I107" s="51" t="s">
        <v>31</v>
      </c>
      <c r="J107" s="51" t="s">
        <v>47</v>
      </c>
      <c r="K107" s="51" t="s">
        <v>48</v>
      </c>
      <c r="L107" s="52" t="s">
        <v>48</v>
      </c>
    </row>
    <row r="108" spans="1:14" ht="31" x14ac:dyDescent="0.3">
      <c r="A108" s="303"/>
      <c r="B108" s="205"/>
      <c r="C108" s="205"/>
      <c r="D108" s="197"/>
      <c r="E108" s="317">
        <v>0</v>
      </c>
      <c r="F108" s="317">
        <v>0</v>
      </c>
      <c r="G108" s="317">
        <v>0</v>
      </c>
      <c r="H108" s="4" t="s">
        <v>282</v>
      </c>
      <c r="I108" s="6" t="s">
        <v>31</v>
      </c>
      <c r="J108" s="6" t="s">
        <v>48</v>
      </c>
      <c r="K108" s="6" t="s">
        <v>47</v>
      </c>
      <c r="L108" s="32" t="s">
        <v>48</v>
      </c>
    </row>
    <row r="109" spans="1:14" ht="77.5" x14ac:dyDescent="0.3">
      <c r="A109" s="303"/>
      <c r="B109" s="205"/>
      <c r="C109" s="205"/>
      <c r="D109" s="197"/>
      <c r="E109" s="317">
        <v>0</v>
      </c>
      <c r="F109" s="317">
        <v>0</v>
      </c>
      <c r="G109" s="317">
        <v>0</v>
      </c>
      <c r="H109" s="4" t="s">
        <v>283</v>
      </c>
      <c r="I109" s="6" t="s">
        <v>31</v>
      </c>
      <c r="J109" s="6" t="s">
        <v>203</v>
      </c>
      <c r="K109" s="6" t="s">
        <v>48</v>
      </c>
      <c r="L109" s="32" t="s">
        <v>48</v>
      </c>
    </row>
    <row r="110" spans="1:14" ht="33" customHeight="1" x14ac:dyDescent="0.3">
      <c r="A110" s="303"/>
      <c r="B110" s="205"/>
      <c r="C110" s="205"/>
      <c r="D110" s="197"/>
      <c r="E110" s="317">
        <v>0</v>
      </c>
      <c r="F110" s="317">
        <v>0</v>
      </c>
      <c r="G110" s="317">
        <v>0</v>
      </c>
      <c r="H110" s="4" t="s">
        <v>284</v>
      </c>
      <c r="I110" s="6" t="s">
        <v>31</v>
      </c>
      <c r="J110" s="6" t="s">
        <v>48</v>
      </c>
      <c r="K110" s="6" t="s">
        <v>48</v>
      </c>
      <c r="L110" s="32" t="s">
        <v>47</v>
      </c>
    </row>
    <row r="111" spans="1:14" ht="77.5" x14ac:dyDescent="0.3">
      <c r="A111" s="303"/>
      <c r="B111" s="205"/>
      <c r="C111" s="205"/>
      <c r="D111" s="197"/>
      <c r="E111" s="317">
        <v>0</v>
      </c>
      <c r="F111" s="317">
        <v>0</v>
      </c>
      <c r="G111" s="317">
        <v>0</v>
      </c>
      <c r="H111" s="4" t="s">
        <v>285</v>
      </c>
      <c r="I111" s="6" t="s">
        <v>28</v>
      </c>
      <c r="J111" s="6" t="s">
        <v>286</v>
      </c>
      <c r="K111" s="6" t="s">
        <v>287</v>
      </c>
      <c r="L111" s="32" t="s">
        <v>288</v>
      </c>
    </row>
    <row r="112" spans="1:14" ht="48.75" customHeight="1" x14ac:dyDescent="0.3">
      <c r="A112" s="303"/>
      <c r="B112" s="205"/>
      <c r="C112" s="205"/>
      <c r="D112" s="197"/>
      <c r="E112" s="317">
        <v>0</v>
      </c>
      <c r="F112" s="317">
        <v>0</v>
      </c>
      <c r="G112" s="317">
        <v>0</v>
      </c>
      <c r="H112" s="4" t="s">
        <v>289</v>
      </c>
      <c r="I112" s="6" t="s">
        <v>50</v>
      </c>
      <c r="J112" s="6" t="s">
        <v>290</v>
      </c>
      <c r="K112" s="6" t="s">
        <v>291</v>
      </c>
      <c r="L112" s="32" t="s">
        <v>292</v>
      </c>
    </row>
    <row r="113" spans="1:12" ht="50.25" customHeight="1" x14ac:dyDescent="0.3">
      <c r="A113" s="303"/>
      <c r="B113" s="205"/>
      <c r="C113" s="205"/>
      <c r="D113" s="197"/>
      <c r="E113" s="317">
        <v>0</v>
      </c>
      <c r="F113" s="317">
        <v>0</v>
      </c>
      <c r="G113" s="317">
        <v>0</v>
      </c>
      <c r="H113" s="4" t="s">
        <v>293</v>
      </c>
      <c r="I113" s="6" t="s">
        <v>50</v>
      </c>
      <c r="J113" s="6" t="s">
        <v>294</v>
      </c>
      <c r="K113" s="6" t="s">
        <v>295</v>
      </c>
      <c r="L113" s="32" t="s">
        <v>296</v>
      </c>
    </row>
    <row r="114" spans="1:12" ht="93.5" thickBot="1" x14ac:dyDescent="0.35">
      <c r="A114" s="313"/>
      <c r="B114" s="206"/>
      <c r="C114" s="206"/>
      <c r="D114" s="198"/>
      <c r="E114" s="256">
        <v>0</v>
      </c>
      <c r="F114" s="256">
        <v>0</v>
      </c>
      <c r="G114" s="256">
        <v>0</v>
      </c>
      <c r="H114" s="4" t="s">
        <v>297</v>
      </c>
      <c r="I114" s="6" t="s">
        <v>28</v>
      </c>
      <c r="J114" s="6" t="s">
        <v>34</v>
      </c>
      <c r="K114" s="6" t="s">
        <v>272</v>
      </c>
      <c r="L114" s="32" t="s">
        <v>272</v>
      </c>
    </row>
    <row r="115" spans="1:12" ht="47" thickBot="1" x14ac:dyDescent="0.35">
      <c r="A115" s="110" t="s">
        <v>298</v>
      </c>
      <c r="B115" s="96" t="s">
        <v>299</v>
      </c>
      <c r="C115" s="96" t="s">
        <v>300</v>
      </c>
      <c r="D115" s="101" t="s">
        <v>26</v>
      </c>
      <c r="E115" s="108">
        <v>86979</v>
      </c>
      <c r="F115" s="108">
        <v>1578000</v>
      </c>
      <c r="G115" s="108">
        <v>4244000</v>
      </c>
      <c r="H115" s="96" t="s">
        <v>301</v>
      </c>
      <c r="I115" s="101" t="s">
        <v>28</v>
      </c>
      <c r="J115" s="101" t="s">
        <v>203</v>
      </c>
      <c r="K115" s="101" t="s">
        <v>302</v>
      </c>
      <c r="L115" s="105" t="s">
        <v>303</v>
      </c>
    </row>
    <row r="116" spans="1:12" ht="32.25" customHeight="1" thickBot="1" x14ac:dyDescent="0.35">
      <c r="A116" s="167" t="s">
        <v>304</v>
      </c>
      <c r="B116" s="230" t="s">
        <v>305</v>
      </c>
      <c r="C116" s="231"/>
      <c r="D116" s="232"/>
      <c r="E116" s="168">
        <f t="shared" ref="E116:G116" si="8">E117+E151</f>
        <v>4915739.67</v>
      </c>
      <c r="F116" s="168">
        <f t="shared" si="8"/>
        <v>4652388</v>
      </c>
      <c r="G116" s="168">
        <f t="shared" si="8"/>
        <v>4660130</v>
      </c>
      <c r="H116" s="233"/>
      <c r="I116" s="234"/>
      <c r="J116" s="234"/>
      <c r="K116" s="234"/>
      <c r="L116" s="235"/>
    </row>
    <row r="117" spans="1:12" ht="32.25" customHeight="1" thickBot="1" x14ac:dyDescent="0.35">
      <c r="A117" s="24" t="s">
        <v>306</v>
      </c>
      <c r="B117" s="221" t="s">
        <v>307</v>
      </c>
      <c r="C117" s="222"/>
      <c r="D117" s="223"/>
      <c r="E117" s="158">
        <f t="shared" ref="E117:G117" si="9">E118+E120+E121+E122+E125+E126+E127+E128+E139+E140+E141+E144+E146+E147+E148+E149+E150</f>
        <v>4595164</v>
      </c>
      <c r="F117" s="158">
        <f t="shared" si="9"/>
        <v>4652388</v>
      </c>
      <c r="G117" s="158">
        <f t="shared" si="9"/>
        <v>4660130</v>
      </c>
      <c r="H117" s="224"/>
      <c r="I117" s="225"/>
      <c r="J117" s="225"/>
      <c r="K117" s="225"/>
      <c r="L117" s="226"/>
    </row>
    <row r="118" spans="1:12" ht="98.25" customHeight="1" x14ac:dyDescent="0.3">
      <c r="A118" s="302" t="s">
        <v>308</v>
      </c>
      <c r="B118" s="229" t="s">
        <v>309</v>
      </c>
      <c r="C118" s="229" t="s">
        <v>193</v>
      </c>
      <c r="D118" s="243" t="s">
        <v>310</v>
      </c>
      <c r="E118" s="255">
        <f>SUM(E119:E119)+157000</f>
        <v>157000</v>
      </c>
      <c r="F118" s="255">
        <f>SUM(F119:F119)+157000</f>
        <v>157000</v>
      </c>
      <c r="G118" s="255">
        <f>SUM(G119:G119)+157000</f>
        <v>157000</v>
      </c>
      <c r="H118" s="3" t="s">
        <v>311</v>
      </c>
      <c r="I118" s="5" t="s">
        <v>28</v>
      </c>
      <c r="J118" s="5" t="s">
        <v>105</v>
      </c>
      <c r="K118" s="5" t="s">
        <v>104</v>
      </c>
      <c r="L118" s="31" t="s">
        <v>104</v>
      </c>
    </row>
    <row r="119" spans="1:12" ht="78" thickBot="1" x14ac:dyDescent="0.35">
      <c r="A119" s="313"/>
      <c r="B119" s="206"/>
      <c r="C119" s="206"/>
      <c r="D119" s="198"/>
      <c r="E119" s="256">
        <v>0</v>
      </c>
      <c r="F119" s="256">
        <v>0</v>
      </c>
      <c r="G119" s="256">
        <v>0</v>
      </c>
      <c r="H119" s="4" t="s">
        <v>312</v>
      </c>
      <c r="I119" s="6" t="s">
        <v>28</v>
      </c>
      <c r="J119" s="6" t="s">
        <v>29</v>
      </c>
      <c r="K119" s="6" t="s">
        <v>29</v>
      </c>
      <c r="L119" s="32" t="s">
        <v>29</v>
      </c>
    </row>
    <row r="120" spans="1:12" ht="78" thickBot="1" x14ac:dyDescent="0.35">
      <c r="A120" s="22" t="s">
        <v>313</v>
      </c>
      <c r="B120" s="3" t="s">
        <v>314</v>
      </c>
      <c r="C120" s="3" t="s">
        <v>315</v>
      </c>
      <c r="D120" s="5" t="s">
        <v>310</v>
      </c>
      <c r="E120" s="42">
        <v>5300</v>
      </c>
      <c r="F120" s="42">
        <v>5300</v>
      </c>
      <c r="G120" s="42">
        <v>5300</v>
      </c>
      <c r="H120" s="3" t="s">
        <v>316</v>
      </c>
      <c r="I120" s="5" t="s">
        <v>31</v>
      </c>
      <c r="J120" s="5" t="s">
        <v>317</v>
      </c>
      <c r="K120" s="5" t="s">
        <v>318</v>
      </c>
      <c r="L120" s="31" t="s">
        <v>319</v>
      </c>
    </row>
    <row r="121" spans="1:12" ht="84.75" customHeight="1" thickBot="1" x14ac:dyDescent="0.35">
      <c r="A121" s="22" t="s">
        <v>320</v>
      </c>
      <c r="B121" s="3" t="s">
        <v>321</v>
      </c>
      <c r="C121" s="3" t="s">
        <v>229</v>
      </c>
      <c r="D121" s="5" t="s">
        <v>310</v>
      </c>
      <c r="E121" s="42">
        <v>100</v>
      </c>
      <c r="F121" s="42">
        <v>100</v>
      </c>
      <c r="G121" s="42">
        <v>100</v>
      </c>
      <c r="H121" s="3" t="s">
        <v>322</v>
      </c>
      <c r="I121" s="5" t="s">
        <v>28</v>
      </c>
      <c r="J121" s="5" t="s">
        <v>29</v>
      </c>
      <c r="K121" s="5" t="s">
        <v>29</v>
      </c>
      <c r="L121" s="31" t="s">
        <v>29</v>
      </c>
    </row>
    <row r="122" spans="1:12" ht="62" x14ac:dyDescent="0.3">
      <c r="A122" s="302" t="s">
        <v>323</v>
      </c>
      <c r="B122" s="229" t="s">
        <v>324</v>
      </c>
      <c r="C122" s="229" t="s">
        <v>99</v>
      </c>
      <c r="D122" s="243" t="s">
        <v>310</v>
      </c>
      <c r="E122" s="255">
        <f>SUM(E123:E124)+70000</f>
        <v>70000</v>
      </c>
      <c r="F122" s="255">
        <f>SUM(F123:F124)+70000</f>
        <v>70000</v>
      </c>
      <c r="G122" s="255">
        <f>SUM(G123:G124)+70000</f>
        <v>70000</v>
      </c>
      <c r="H122" s="3" t="s">
        <v>325</v>
      </c>
      <c r="I122" s="5" t="s">
        <v>28</v>
      </c>
      <c r="J122" s="68" t="s">
        <v>47</v>
      </c>
      <c r="K122" s="68" t="s">
        <v>47</v>
      </c>
      <c r="L122" s="70" t="s">
        <v>47</v>
      </c>
    </row>
    <row r="123" spans="1:12" ht="50.25" customHeight="1" x14ac:dyDescent="0.3">
      <c r="A123" s="303"/>
      <c r="B123" s="205"/>
      <c r="C123" s="205"/>
      <c r="D123" s="197"/>
      <c r="E123" s="317">
        <v>0</v>
      </c>
      <c r="F123" s="317">
        <v>0</v>
      </c>
      <c r="G123" s="317">
        <v>0</v>
      </c>
      <c r="H123" s="4" t="s">
        <v>326</v>
      </c>
      <c r="I123" s="6" t="s">
        <v>31</v>
      </c>
      <c r="J123" s="6" t="s">
        <v>327</v>
      </c>
      <c r="K123" s="6" t="s">
        <v>327</v>
      </c>
      <c r="L123" s="32" t="s">
        <v>327</v>
      </c>
    </row>
    <row r="124" spans="1:12" ht="16" thickBot="1" x14ac:dyDescent="0.35">
      <c r="A124" s="313"/>
      <c r="B124" s="206"/>
      <c r="C124" s="206"/>
      <c r="D124" s="198"/>
      <c r="E124" s="256">
        <v>0</v>
      </c>
      <c r="F124" s="256">
        <v>0</v>
      </c>
      <c r="G124" s="256">
        <v>0</v>
      </c>
      <c r="H124" s="4" t="s">
        <v>328</v>
      </c>
      <c r="I124" s="6" t="s">
        <v>31</v>
      </c>
      <c r="J124" s="6" t="s">
        <v>47</v>
      </c>
      <c r="K124" s="6" t="s">
        <v>47</v>
      </c>
      <c r="L124" s="32" t="s">
        <v>47</v>
      </c>
    </row>
    <row r="125" spans="1:12" ht="93.5" thickBot="1" x14ac:dyDescent="0.35">
      <c r="A125" s="22" t="s">
        <v>329</v>
      </c>
      <c r="B125" s="3" t="s">
        <v>330</v>
      </c>
      <c r="C125" s="3" t="s">
        <v>258</v>
      </c>
      <c r="D125" s="5" t="s">
        <v>310</v>
      </c>
      <c r="E125" s="42">
        <v>700</v>
      </c>
      <c r="F125" s="42">
        <v>700</v>
      </c>
      <c r="G125" s="42">
        <v>700</v>
      </c>
      <c r="H125" s="3" t="s">
        <v>331</v>
      </c>
      <c r="I125" s="5" t="s">
        <v>31</v>
      </c>
      <c r="J125" s="5" t="s">
        <v>47</v>
      </c>
      <c r="K125" s="5" t="s">
        <v>47</v>
      </c>
      <c r="L125" s="31" t="s">
        <v>47</v>
      </c>
    </row>
    <row r="126" spans="1:12" ht="47" thickBot="1" x14ac:dyDescent="0.35">
      <c r="A126" s="110" t="s">
        <v>332</v>
      </c>
      <c r="B126" s="96" t="s">
        <v>333</v>
      </c>
      <c r="C126" s="96" t="s">
        <v>258</v>
      </c>
      <c r="D126" s="101" t="s">
        <v>310</v>
      </c>
      <c r="E126" s="108">
        <v>1200</v>
      </c>
      <c r="F126" s="108">
        <v>1200</v>
      </c>
      <c r="G126" s="108">
        <v>1200</v>
      </c>
      <c r="H126" s="96" t="s">
        <v>334</v>
      </c>
      <c r="I126" s="101" t="s">
        <v>31</v>
      </c>
      <c r="J126" s="101" t="s">
        <v>47</v>
      </c>
      <c r="K126" s="101" t="s">
        <v>47</v>
      </c>
      <c r="L126" s="105" t="s">
        <v>47</v>
      </c>
    </row>
    <row r="127" spans="1:12" ht="78" thickBot="1" x14ac:dyDescent="0.35">
      <c r="A127" s="112" t="s">
        <v>335</v>
      </c>
      <c r="B127" s="113" t="s">
        <v>336</v>
      </c>
      <c r="C127" s="113" t="s">
        <v>258</v>
      </c>
      <c r="D127" s="114" t="s">
        <v>337</v>
      </c>
      <c r="E127" s="115">
        <v>100000</v>
      </c>
      <c r="F127" s="115">
        <v>100000</v>
      </c>
      <c r="G127" s="115">
        <v>100000</v>
      </c>
      <c r="H127" s="113" t="s">
        <v>338</v>
      </c>
      <c r="I127" s="114" t="s">
        <v>28</v>
      </c>
      <c r="J127" s="114" t="s">
        <v>29</v>
      </c>
      <c r="K127" s="114" t="s">
        <v>29</v>
      </c>
      <c r="L127" s="116" t="s">
        <v>29</v>
      </c>
    </row>
    <row r="128" spans="1:12" ht="93" x14ac:dyDescent="0.3">
      <c r="A128" s="304" t="s">
        <v>339</v>
      </c>
      <c r="B128" s="227" t="s">
        <v>340</v>
      </c>
      <c r="C128" s="227" t="s">
        <v>170</v>
      </c>
      <c r="D128" s="257" t="s">
        <v>310</v>
      </c>
      <c r="E128" s="324">
        <f>SUM(E129:E138)+31700</f>
        <v>31700</v>
      </c>
      <c r="F128" s="324">
        <f>SUM(F129:F138)+31700</f>
        <v>31700</v>
      </c>
      <c r="G128" s="324">
        <f>SUM(G129:G138)+31700</f>
        <v>31700</v>
      </c>
      <c r="H128" s="57" t="s">
        <v>341</v>
      </c>
      <c r="I128" s="9" t="s">
        <v>28</v>
      </c>
      <c r="J128" s="9" t="s">
        <v>342</v>
      </c>
      <c r="K128" s="9" t="s">
        <v>343</v>
      </c>
      <c r="L128" s="58" t="s">
        <v>344</v>
      </c>
    </row>
    <row r="129" spans="1:12" ht="93" x14ac:dyDescent="0.3">
      <c r="A129" s="305"/>
      <c r="B129" s="205"/>
      <c r="C129" s="205"/>
      <c r="D129" s="197"/>
      <c r="E129" s="317"/>
      <c r="F129" s="317"/>
      <c r="G129" s="317"/>
      <c r="H129" s="4" t="s">
        <v>345</v>
      </c>
      <c r="I129" s="6" t="s">
        <v>28</v>
      </c>
      <c r="J129" s="6" t="s">
        <v>346</v>
      </c>
      <c r="K129" s="6" t="s">
        <v>347</v>
      </c>
      <c r="L129" s="67" t="s">
        <v>348</v>
      </c>
    </row>
    <row r="130" spans="1:12" ht="93" x14ac:dyDescent="0.3">
      <c r="A130" s="305"/>
      <c r="B130" s="205"/>
      <c r="C130" s="205"/>
      <c r="D130" s="197"/>
      <c r="E130" s="317"/>
      <c r="F130" s="317"/>
      <c r="G130" s="317"/>
      <c r="H130" s="4" t="s">
        <v>349</v>
      </c>
      <c r="I130" s="6" t="s">
        <v>28</v>
      </c>
      <c r="J130" s="6" t="s">
        <v>350</v>
      </c>
      <c r="K130" s="6" t="s">
        <v>351</v>
      </c>
      <c r="L130" s="67" t="s">
        <v>348</v>
      </c>
    </row>
    <row r="131" spans="1:12" ht="93" x14ac:dyDescent="0.3">
      <c r="A131" s="305"/>
      <c r="B131" s="205"/>
      <c r="C131" s="205"/>
      <c r="D131" s="197"/>
      <c r="E131" s="317"/>
      <c r="F131" s="317"/>
      <c r="G131" s="317"/>
      <c r="H131" s="4" t="s">
        <v>352</v>
      </c>
      <c r="I131" s="6" t="s">
        <v>28</v>
      </c>
      <c r="J131" s="6" t="s">
        <v>347</v>
      </c>
      <c r="K131" s="6" t="s">
        <v>347</v>
      </c>
      <c r="L131" s="67" t="s">
        <v>133</v>
      </c>
    </row>
    <row r="132" spans="1:12" ht="93" x14ac:dyDescent="0.3">
      <c r="A132" s="305"/>
      <c r="B132" s="205"/>
      <c r="C132" s="205"/>
      <c r="D132" s="197"/>
      <c r="E132" s="317"/>
      <c r="F132" s="317"/>
      <c r="G132" s="317"/>
      <c r="H132" s="4" t="s">
        <v>353</v>
      </c>
      <c r="I132" s="6" t="s">
        <v>28</v>
      </c>
      <c r="J132" s="6" t="s">
        <v>354</v>
      </c>
      <c r="K132" s="6" t="s">
        <v>355</v>
      </c>
      <c r="L132" s="67" t="s">
        <v>346</v>
      </c>
    </row>
    <row r="133" spans="1:12" ht="93" x14ac:dyDescent="0.3">
      <c r="A133" s="305"/>
      <c r="B133" s="205"/>
      <c r="C133" s="205"/>
      <c r="D133" s="197"/>
      <c r="E133" s="317"/>
      <c r="F133" s="317"/>
      <c r="G133" s="317"/>
      <c r="H133" s="4" t="s">
        <v>356</v>
      </c>
      <c r="I133" s="6" t="s">
        <v>28</v>
      </c>
      <c r="J133" s="6" t="s">
        <v>357</v>
      </c>
      <c r="K133" s="6" t="s">
        <v>355</v>
      </c>
      <c r="L133" s="67" t="s">
        <v>347</v>
      </c>
    </row>
    <row r="134" spans="1:12" ht="93.5" thickBot="1" x14ac:dyDescent="0.35">
      <c r="A134" s="306"/>
      <c r="B134" s="228"/>
      <c r="C134" s="228"/>
      <c r="D134" s="307"/>
      <c r="E134" s="325"/>
      <c r="F134" s="325"/>
      <c r="G134" s="325"/>
      <c r="H134" s="59" t="s">
        <v>358</v>
      </c>
      <c r="I134" s="10" t="s">
        <v>28</v>
      </c>
      <c r="J134" s="10" t="s">
        <v>359</v>
      </c>
      <c r="K134" s="10" t="s">
        <v>360</v>
      </c>
      <c r="L134" s="60" t="s">
        <v>346</v>
      </c>
    </row>
    <row r="135" spans="1:12" ht="93" x14ac:dyDescent="0.3">
      <c r="A135" s="326"/>
      <c r="B135" s="271"/>
      <c r="C135" s="271"/>
      <c r="D135" s="271"/>
      <c r="E135" s="274"/>
      <c r="F135" s="274"/>
      <c r="G135" s="274"/>
      <c r="H135" s="153" t="s">
        <v>361</v>
      </c>
      <c r="I135" s="122" t="s">
        <v>28</v>
      </c>
      <c r="J135" s="122" t="s">
        <v>362</v>
      </c>
      <c r="K135" s="122" t="s">
        <v>363</v>
      </c>
      <c r="L135" s="123" t="s">
        <v>364</v>
      </c>
    </row>
    <row r="136" spans="1:12" ht="93" x14ac:dyDescent="0.3">
      <c r="A136" s="327"/>
      <c r="B136" s="272"/>
      <c r="C136" s="272"/>
      <c r="D136" s="272"/>
      <c r="E136" s="275"/>
      <c r="F136" s="275"/>
      <c r="G136" s="275"/>
      <c r="H136" s="139" t="s">
        <v>365</v>
      </c>
      <c r="I136" s="120" t="s">
        <v>28</v>
      </c>
      <c r="J136" s="120" t="s">
        <v>346</v>
      </c>
      <c r="K136" s="120" t="s">
        <v>348</v>
      </c>
      <c r="L136" s="124" t="s">
        <v>366</v>
      </c>
    </row>
    <row r="137" spans="1:12" ht="93" x14ac:dyDescent="0.3">
      <c r="A137" s="327"/>
      <c r="B137" s="272"/>
      <c r="C137" s="272"/>
      <c r="D137" s="272"/>
      <c r="E137" s="275"/>
      <c r="F137" s="275"/>
      <c r="G137" s="275"/>
      <c r="H137" s="139" t="s">
        <v>367</v>
      </c>
      <c r="I137" s="120" t="s">
        <v>28</v>
      </c>
      <c r="J137" s="120" t="s">
        <v>89</v>
      </c>
      <c r="K137" s="120" t="s">
        <v>132</v>
      </c>
      <c r="L137" s="124" t="s">
        <v>357</v>
      </c>
    </row>
    <row r="138" spans="1:12" ht="93.5" thickBot="1" x14ac:dyDescent="0.35">
      <c r="A138" s="328"/>
      <c r="B138" s="273"/>
      <c r="C138" s="273"/>
      <c r="D138" s="273"/>
      <c r="E138" s="276"/>
      <c r="F138" s="276"/>
      <c r="G138" s="276"/>
      <c r="H138" s="154" t="s">
        <v>368</v>
      </c>
      <c r="I138" s="126" t="s">
        <v>28</v>
      </c>
      <c r="J138" s="126" t="s">
        <v>354</v>
      </c>
      <c r="K138" s="126" t="s">
        <v>369</v>
      </c>
      <c r="L138" s="127" t="s">
        <v>133</v>
      </c>
    </row>
    <row r="139" spans="1:12" ht="62.5" thickBot="1" x14ac:dyDescent="0.35">
      <c r="A139" s="66" t="s">
        <v>370</v>
      </c>
      <c r="B139" s="93" t="s">
        <v>371</v>
      </c>
      <c r="C139" s="93" t="s">
        <v>315</v>
      </c>
      <c r="D139" s="92" t="s">
        <v>310</v>
      </c>
      <c r="E139" s="95">
        <v>144400</v>
      </c>
      <c r="F139" s="95">
        <v>144400</v>
      </c>
      <c r="G139" s="95">
        <v>144400</v>
      </c>
      <c r="H139" s="93" t="s">
        <v>372</v>
      </c>
      <c r="I139" s="92" t="s">
        <v>31</v>
      </c>
      <c r="J139" s="92" t="s">
        <v>373</v>
      </c>
      <c r="K139" s="92" t="s">
        <v>374</v>
      </c>
      <c r="L139" s="91" t="s">
        <v>374</v>
      </c>
    </row>
    <row r="140" spans="1:12" ht="62.5" thickBot="1" x14ac:dyDescent="0.35">
      <c r="A140" s="22" t="s">
        <v>375</v>
      </c>
      <c r="B140" s="3" t="s">
        <v>376</v>
      </c>
      <c r="C140" s="3" t="s">
        <v>377</v>
      </c>
      <c r="D140" s="5" t="s">
        <v>310</v>
      </c>
      <c r="E140" s="42">
        <v>23000</v>
      </c>
      <c r="F140" s="42">
        <v>23000</v>
      </c>
      <c r="G140" s="42">
        <v>23000</v>
      </c>
      <c r="H140" s="3" t="s">
        <v>378</v>
      </c>
      <c r="I140" s="5" t="s">
        <v>31</v>
      </c>
      <c r="J140" s="5" t="s">
        <v>379</v>
      </c>
      <c r="K140" s="5" t="s">
        <v>379</v>
      </c>
      <c r="L140" s="31" t="s">
        <v>379</v>
      </c>
    </row>
    <row r="141" spans="1:12" ht="31" x14ac:dyDescent="0.3">
      <c r="A141" s="302" t="s">
        <v>380</v>
      </c>
      <c r="B141" s="229" t="s">
        <v>381</v>
      </c>
      <c r="C141" s="229" t="s">
        <v>223</v>
      </c>
      <c r="D141" s="243" t="s">
        <v>310</v>
      </c>
      <c r="E141" s="255">
        <f>SUM(E142:E143)+12300</f>
        <v>12300</v>
      </c>
      <c r="F141" s="255">
        <f>SUM(F142:F143)+12300</f>
        <v>12300</v>
      </c>
      <c r="G141" s="255">
        <f>SUM(G142:G143)+12300</f>
        <v>12300</v>
      </c>
      <c r="H141" s="3" t="s">
        <v>382</v>
      </c>
      <c r="I141" s="5" t="s">
        <v>28</v>
      </c>
      <c r="J141" s="5" t="s">
        <v>29</v>
      </c>
      <c r="K141" s="5" t="s">
        <v>29</v>
      </c>
      <c r="L141" s="31" t="s">
        <v>29</v>
      </c>
    </row>
    <row r="142" spans="1:12" ht="46.5" x14ac:dyDescent="0.3">
      <c r="A142" s="303"/>
      <c r="B142" s="205"/>
      <c r="C142" s="205"/>
      <c r="D142" s="197"/>
      <c r="E142" s="317">
        <v>0</v>
      </c>
      <c r="F142" s="317">
        <v>0</v>
      </c>
      <c r="G142" s="317">
        <v>0</v>
      </c>
      <c r="H142" s="4" t="s">
        <v>383</v>
      </c>
      <c r="I142" s="6" t="s">
        <v>31</v>
      </c>
      <c r="J142" s="6" t="s">
        <v>384</v>
      </c>
      <c r="K142" s="6" t="s">
        <v>384</v>
      </c>
      <c r="L142" s="32" t="s">
        <v>384</v>
      </c>
    </row>
    <row r="143" spans="1:12" ht="47" thickBot="1" x14ac:dyDescent="0.35">
      <c r="A143" s="303"/>
      <c r="B143" s="205"/>
      <c r="C143" s="205"/>
      <c r="D143" s="197"/>
      <c r="E143" s="317">
        <v>0</v>
      </c>
      <c r="F143" s="317">
        <v>0</v>
      </c>
      <c r="G143" s="317">
        <v>0</v>
      </c>
      <c r="H143" s="107" t="s">
        <v>385</v>
      </c>
      <c r="I143" s="97" t="s">
        <v>31</v>
      </c>
      <c r="J143" s="97" t="s">
        <v>386</v>
      </c>
      <c r="K143" s="97" t="s">
        <v>386</v>
      </c>
      <c r="L143" s="109" t="s">
        <v>386</v>
      </c>
    </row>
    <row r="144" spans="1:12" ht="62" x14ac:dyDescent="0.3">
      <c r="A144" s="304" t="s">
        <v>387</v>
      </c>
      <c r="B144" s="227" t="s">
        <v>388</v>
      </c>
      <c r="C144" s="227" t="s">
        <v>389</v>
      </c>
      <c r="D144" s="257" t="s">
        <v>26</v>
      </c>
      <c r="E144" s="324">
        <f t="shared" ref="E144:G144" si="10">SUM(E145:E145)+3106347</f>
        <v>3106347</v>
      </c>
      <c r="F144" s="324">
        <f t="shared" si="10"/>
        <v>3106347</v>
      </c>
      <c r="G144" s="324">
        <f t="shared" si="10"/>
        <v>3106347</v>
      </c>
      <c r="H144" s="57" t="s">
        <v>390</v>
      </c>
      <c r="I144" s="9" t="s">
        <v>28</v>
      </c>
      <c r="J144" s="9" t="s">
        <v>240</v>
      </c>
      <c r="K144" s="9" t="s">
        <v>240</v>
      </c>
      <c r="L144" s="58" t="s">
        <v>240</v>
      </c>
    </row>
    <row r="145" spans="1:15" ht="16" thickBot="1" x14ac:dyDescent="0.35">
      <c r="A145" s="306"/>
      <c r="B145" s="228"/>
      <c r="C145" s="228"/>
      <c r="D145" s="307"/>
      <c r="E145" s="325">
        <v>0</v>
      </c>
      <c r="F145" s="325">
        <v>0</v>
      </c>
      <c r="G145" s="325">
        <v>0</v>
      </c>
      <c r="H145" s="59" t="s">
        <v>391</v>
      </c>
      <c r="I145" s="10" t="s">
        <v>31</v>
      </c>
      <c r="J145" s="10" t="s">
        <v>32</v>
      </c>
      <c r="K145" s="10" t="s">
        <v>60</v>
      </c>
      <c r="L145" s="60" t="s">
        <v>32</v>
      </c>
    </row>
    <row r="146" spans="1:15" ht="111" customHeight="1" thickBot="1" x14ac:dyDescent="0.35">
      <c r="A146" s="149" t="s">
        <v>392</v>
      </c>
      <c r="B146" s="145" t="s">
        <v>393</v>
      </c>
      <c r="C146" s="145" t="s">
        <v>258</v>
      </c>
      <c r="D146" s="143" t="s">
        <v>337</v>
      </c>
      <c r="E146" s="150">
        <v>50000</v>
      </c>
      <c r="F146" s="150">
        <v>50000</v>
      </c>
      <c r="G146" s="150">
        <v>50000</v>
      </c>
      <c r="H146" s="145" t="s">
        <v>394</v>
      </c>
      <c r="I146" s="143" t="s">
        <v>28</v>
      </c>
      <c r="J146" s="143" t="s">
        <v>29</v>
      </c>
      <c r="K146" s="143" t="s">
        <v>29</v>
      </c>
      <c r="L146" s="151" t="s">
        <v>29</v>
      </c>
    </row>
    <row r="147" spans="1:15" ht="65.150000000000006" customHeight="1" thickBot="1" x14ac:dyDescent="0.35">
      <c r="A147" s="66" t="s">
        <v>395</v>
      </c>
      <c r="B147" s="93" t="s">
        <v>396</v>
      </c>
      <c r="C147" s="93" t="s">
        <v>315</v>
      </c>
      <c r="D147" s="92" t="s">
        <v>26</v>
      </c>
      <c r="E147" s="95">
        <v>600000</v>
      </c>
      <c r="F147" s="95">
        <v>650000</v>
      </c>
      <c r="G147" s="95">
        <v>650000</v>
      </c>
      <c r="H147" s="93" t="s">
        <v>397</v>
      </c>
      <c r="I147" s="92" t="s">
        <v>31</v>
      </c>
      <c r="J147" s="92" t="s">
        <v>398</v>
      </c>
      <c r="K147" s="135" t="s">
        <v>399</v>
      </c>
      <c r="L147" s="136" t="s">
        <v>400</v>
      </c>
      <c r="M147" s="354"/>
      <c r="N147" s="353"/>
      <c r="O147" s="72"/>
    </row>
    <row r="148" spans="1:15" ht="78" thickBot="1" x14ac:dyDescent="0.35">
      <c r="A148" s="22" t="s">
        <v>401</v>
      </c>
      <c r="B148" s="3" t="s">
        <v>402</v>
      </c>
      <c r="C148" s="3" t="s">
        <v>72</v>
      </c>
      <c r="D148" s="5" t="s">
        <v>26</v>
      </c>
      <c r="E148" s="42">
        <v>148117</v>
      </c>
      <c r="F148" s="42">
        <v>155341</v>
      </c>
      <c r="G148" s="42">
        <v>163083</v>
      </c>
      <c r="H148" s="3" t="s">
        <v>403</v>
      </c>
      <c r="I148" s="5" t="s">
        <v>31</v>
      </c>
      <c r="J148" s="5" t="s">
        <v>150</v>
      </c>
      <c r="K148" s="5" t="s">
        <v>150</v>
      </c>
      <c r="L148" s="31" t="s">
        <v>150</v>
      </c>
    </row>
    <row r="149" spans="1:15" ht="79" customHeight="1" thickBot="1" x14ac:dyDescent="0.35">
      <c r="A149" s="22" t="s">
        <v>404</v>
      </c>
      <c r="B149" s="3" t="s">
        <v>405</v>
      </c>
      <c r="C149" s="3" t="s">
        <v>406</v>
      </c>
      <c r="D149" s="5" t="s">
        <v>26</v>
      </c>
      <c r="E149" s="42">
        <v>145000</v>
      </c>
      <c r="F149" s="42">
        <v>145000</v>
      </c>
      <c r="G149" s="42">
        <v>145000</v>
      </c>
      <c r="H149" s="3" t="s">
        <v>407</v>
      </c>
      <c r="I149" s="5" t="s">
        <v>31</v>
      </c>
      <c r="J149" s="5" t="s">
        <v>408</v>
      </c>
      <c r="K149" s="5" t="s">
        <v>408</v>
      </c>
      <c r="L149" s="31" t="s">
        <v>408</v>
      </c>
    </row>
    <row r="150" spans="1:15" ht="79.5" customHeight="1" thickBot="1" x14ac:dyDescent="0.35">
      <c r="A150" s="22" t="s">
        <v>409</v>
      </c>
      <c r="B150" s="3" t="s">
        <v>410</v>
      </c>
      <c r="C150" s="3" t="s">
        <v>315</v>
      </c>
      <c r="D150" s="5"/>
      <c r="E150" s="42"/>
      <c r="F150" s="42"/>
      <c r="G150" s="42"/>
      <c r="H150" s="3" t="s">
        <v>411</v>
      </c>
      <c r="I150" s="5" t="s">
        <v>31</v>
      </c>
      <c r="J150" s="5" t="s">
        <v>412</v>
      </c>
      <c r="K150" s="5" t="s">
        <v>413</v>
      </c>
      <c r="L150" s="31" t="s">
        <v>413</v>
      </c>
    </row>
    <row r="151" spans="1:15" ht="32.25" customHeight="1" thickBot="1" x14ac:dyDescent="0.35">
      <c r="A151" s="21" t="s">
        <v>414</v>
      </c>
      <c r="B151" s="185" t="s">
        <v>415</v>
      </c>
      <c r="C151" s="186"/>
      <c r="D151" s="187"/>
      <c r="E151" s="39">
        <f t="shared" ref="E151:G151" si="11">E152+E155+E156+E157+E160+E162</f>
        <v>320575.67</v>
      </c>
      <c r="F151" s="39">
        <f t="shared" si="11"/>
        <v>0</v>
      </c>
      <c r="G151" s="39">
        <f t="shared" si="11"/>
        <v>0</v>
      </c>
      <c r="H151" s="191"/>
      <c r="I151" s="192"/>
      <c r="J151" s="192"/>
      <c r="K151" s="192"/>
      <c r="L151" s="193"/>
    </row>
    <row r="152" spans="1:15" ht="31" x14ac:dyDescent="0.3">
      <c r="A152" s="302" t="s">
        <v>416</v>
      </c>
      <c r="B152" s="229" t="s">
        <v>417</v>
      </c>
      <c r="C152" s="229" t="s">
        <v>72</v>
      </c>
      <c r="D152" s="5" t="s">
        <v>268</v>
      </c>
      <c r="E152" s="44">
        <f t="shared" ref="E152" si="12">SUM(E153:E154)</f>
        <v>320575.67</v>
      </c>
      <c r="F152" s="44"/>
      <c r="G152" s="44"/>
      <c r="H152" s="3" t="s">
        <v>301</v>
      </c>
      <c r="I152" s="5" t="s">
        <v>28</v>
      </c>
      <c r="J152" s="5" t="s">
        <v>89</v>
      </c>
      <c r="K152" s="5" t="s">
        <v>48</v>
      </c>
      <c r="L152" s="31" t="s">
        <v>48</v>
      </c>
    </row>
    <row r="153" spans="1:15" ht="44.25" customHeight="1" x14ac:dyDescent="0.3">
      <c r="A153" s="303"/>
      <c r="B153" s="205"/>
      <c r="C153" s="205"/>
      <c r="D153" s="6" t="s">
        <v>418</v>
      </c>
      <c r="E153" s="40">
        <v>272489</v>
      </c>
      <c r="F153" s="40"/>
      <c r="G153" s="40"/>
      <c r="H153" s="246" t="s">
        <v>419</v>
      </c>
      <c r="I153" s="207" t="s">
        <v>31</v>
      </c>
      <c r="J153" s="207" t="s">
        <v>203</v>
      </c>
      <c r="K153" s="207" t="s">
        <v>48</v>
      </c>
      <c r="L153" s="250" t="s">
        <v>48</v>
      </c>
    </row>
    <row r="154" spans="1:15" ht="41.15" customHeight="1" thickBot="1" x14ac:dyDescent="0.35">
      <c r="A154" s="303"/>
      <c r="B154" s="205"/>
      <c r="C154" s="205"/>
      <c r="D154" s="97" t="s">
        <v>26</v>
      </c>
      <c r="E154" s="102">
        <v>48086.67</v>
      </c>
      <c r="F154" s="102"/>
      <c r="G154" s="102"/>
      <c r="H154" s="205"/>
      <c r="I154" s="197"/>
      <c r="J154" s="197"/>
      <c r="K154" s="197"/>
      <c r="L154" s="270"/>
    </row>
    <row r="155" spans="1:15" ht="93.5" thickBot="1" x14ac:dyDescent="0.35">
      <c r="A155" s="112" t="s">
        <v>420</v>
      </c>
      <c r="B155" s="113" t="s">
        <v>421</v>
      </c>
      <c r="C155" s="113" t="s">
        <v>197</v>
      </c>
      <c r="D155" s="114"/>
      <c r="E155" s="115"/>
      <c r="F155" s="115"/>
      <c r="G155" s="115"/>
      <c r="H155" s="113" t="s">
        <v>422</v>
      </c>
      <c r="I155" s="114" t="s">
        <v>31</v>
      </c>
      <c r="J155" s="114" t="s">
        <v>203</v>
      </c>
      <c r="K155" s="114" t="s">
        <v>48</v>
      </c>
      <c r="L155" s="116" t="s">
        <v>48</v>
      </c>
    </row>
    <row r="156" spans="1:15" ht="93.5" thickBot="1" x14ac:dyDescent="0.35">
      <c r="A156" s="66" t="s">
        <v>423</v>
      </c>
      <c r="B156" s="104" t="s">
        <v>424</v>
      </c>
      <c r="C156" s="104" t="s">
        <v>197</v>
      </c>
      <c r="D156" s="98"/>
      <c r="E156" s="103"/>
      <c r="F156" s="103"/>
      <c r="G156" s="103"/>
      <c r="H156" s="104" t="s">
        <v>425</v>
      </c>
      <c r="I156" s="98" t="s">
        <v>31</v>
      </c>
      <c r="J156" s="98" t="s">
        <v>426</v>
      </c>
      <c r="K156" s="98" t="s">
        <v>426</v>
      </c>
      <c r="L156" s="106" t="s">
        <v>426</v>
      </c>
    </row>
    <row r="157" spans="1:15" ht="31" x14ac:dyDescent="0.3">
      <c r="A157" s="302" t="s">
        <v>427</v>
      </c>
      <c r="B157" s="229" t="s">
        <v>428</v>
      </c>
      <c r="C157" s="229" t="s">
        <v>170</v>
      </c>
      <c r="D157" s="243"/>
      <c r="E157" s="255"/>
      <c r="F157" s="255"/>
      <c r="G157" s="255"/>
      <c r="H157" s="3" t="s">
        <v>429</v>
      </c>
      <c r="I157" s="5" t="s">
        <v>28</v>
      </c>
      <c r="J157" s="5" t="s">
        <v>32</v>
      </c>
      <c r="K157" s="5" t="s">
        <v>48</v>
      </c>
      <c r="L157" s="31" t="s">
        <v>48</v>
      </c>
    </row>
    <row r="158" spans="1:15" ht="81" customHeight="1" x14ac:dyDescent="0.3">
      <c r="A158" s="303"/>
      <c r="B158" s="205"/>
      <c r="C158" s="205"/>
      <c r="D158" s="197"/>
      <c r="E158" s="317"/>
      <c r="F158" s="317"/>
      <c r="G158" s="317"/>
      <c r="H158" s="77" t="s">
        <v>430</v>
      </c>
      <c r="I158" s="76" t="s">
        <v>31</v>
      </c>
      <c r="J158" s="76" t="s">
        <v>150</v>
      </c>
      <c r="K158" s="76" t="s">
        <v>47</v>
      </c>
      <c r="L158" s="71" t="s">
        <v>47</v>
      </c>
      <c r="M158" s="354"/>
      <c r="N158" s="353"/>
    </row>
    <row r="159" spans="1:15" ht="81.650000000000006" customHeight="1" x14ac:dyDescent="0.3">
      <c r="A159" s="313"/>
      <c r="B159" s="206"/>
      <c r="C159" s="206"/>
      <c r="D159" s="198"/>
      <c r="E159" s="256"/>
      <c r="F159" s="256"/>
      <c r="G159" s="256"/>
      <c r="H159" s="4" t="s">
        <v>431</v>
      </c>
      <c r="I159" s="6" t="s">
        <v>28</v>
      </c>
      <c r="J159" s="6" t="s">
        <v>133</v>
      </c>
      <c r="K159" s="6" t="s">
        <v>133</v>
      </c>
      <c r="L159" s="32" t="s">
        <v>133</v>
      </c>
    </row>
    <row r="160" spans="1:15" ht="46.5" x14ac:dyDescent="0.3">
      <c r="A160" s="302" t="s">
        <v>432</v>
      </c>
      <c r="B160" s="229" t="s">
        <v>433</v>
      </c>
      <c r="C160" s="229" t="s">
        <v>170</v>
      </c>
      <c r="D160" s="243"/>
      <c r="E160" s="255"/>
      <c r="F160" s="255"/>
      <c r="G160" s="255"/>
      <c r="H160" s="3" t="s">
        <v>434</v>
      </c>
      <c r="I160" s="5" t="s">
        <v>31</v>
      </c>
      <c r="J160" s="5" t="s">
        <v>203</v>
      </c>
      <c r="K160" s="5" t="s">
        <v>203</v>
      </c>
      <c r="L160" s="31" t="s">
        <v>203</v>
      </c>
    </row>
    <row r="161" spans="1:12" ht="78" thickBot="1" x14ac:dyDescent="0.35">
      <c r="A161" s="303"/>
      <c r="B161" s="205"/>
      <c r="C161" s="205"/>
      <c r="D161" s="197"/>
      <c r="E161" s="317"/>
      <c r="F161" s="317"/>
      <c r="G161" s="317"/>
      <c r="H161" s="107" t="s">
        <v>435</v>
      </c>
      <c r="I161" s="97" t="s">
        <v>31</v>
      </c>
      <c r="J161" s="97" t="s">
        <v>47</v>
      </c>
      <c r="K161" s="97" t="s">
        <v>47</v>
      </c>
      <c r="L161" s="109" t="s">
        <v>47</v>
      </c>
    </row>
    <row r="162" spans="1:12" ht="77.5" x14ac:dyDescent="0.3">
      <c r="A162" s="304" t="s">
        <v>436</v>
      </c>
      <c r="B162" s="227" t="s">
        <v>437</v>
      </c>
      <c r="C162" s="227" t="s">
        <v>170</v>
      </c>
      <c r="D162" s="257"/>
      <c r="E162" s="324"/>
      <c r="F162" s="324"/>
      <c r="G162" s="324"/>
      <c r="H162" s="57" t="s">
        <v>438</v>
      </c>
      <c r="I162" s="9" t="s">
        <v>31</v>
      </c>
      <c r="J162" s="9" t="s">
        <v>226</v>
      </c>
      <c r="K162" s="9" t="s">
        <v>226</v>
      </c>
      <c r="L162" s="58" t="s">
        <v>226</v>
      </c>
    </row>
    <row r="163" spans="1:12" ht="31" x14ac:dyDescent="0.3">
      <c r="A163" s="305"/>
      <c r="B163" s="205"/>
      <c r="C163" s="205"/>
      <c r="D163" s="197"/>
      <c r="E163" s="317"/>
      <c r="F163" s="317"/>
      <c r="G163" s="317"/>
      <c r="H163" s="4" t="s">
        <v>439</v>
      </c>
      <c r="I163" s="6" t="s">
        <v>28</v>
      </c>
      <c r="J163" s="6" t="s">
        <v>440</v>
      </c>
      <c r="K163" s="6" t="s">
        <v>441</v>
      </c>
      <c r="L163" s="67" t="s">
        <v>442</v>
      </c>
    </row>
    <row r="164" spans="1:12" ht="31" x14ac:dyDescent="0.3">
      <c r="A164" s="305"/>
      <c r="B164" s="205"/>
      <c r="C164" s="205"/>
      <c r="D164" s="197"/>
      <c r="E164" s="317"/>
      <c r="F164" s="317"/>
      <c r="G164" s="317"/>
      <c r="H164" s="4" t="s">
        <v>443</v>
      </c>
      <c r="I164" s="6" t="s">
        <v>28</v>
      </c>
      <c r="J164" s="6" t="s">
        <v>444</v>
      </c>
      <c r="K164" s="6" t="s">
        <v>445</v>
      </c>
      <c r="L164" s="67" t="s">
        <v>446</v>
      </c>
    </row>
    <row r="165" spans="1:12" ht="31" x14ac:dyDescent="0.3">
      <c r="A165" s="305"/>
      <c r="B165" s="205"/>
      <c r="C165" s="205"/>
      <c r="D165" s="197"/>
      <c r="E165" s="317"/>
      <c r="F165" s="317"/>
      <c r="G165" s="317"/>
      <c r="H165" s="4" t="s">
        <v>447</v>
      </c>
      <c r="I165" s="6" t="s">
        <v>28</v>
      </c>
      <c r="J165" s="6" t="s">
        <v>448</v>
      </c>
      <c r="K165" s="6" t="s">
        <v>448</v>
      </c>
      <c r="L165" s="67" t="s">
        <v>448</v>
      </c>
    </row>
    <row r="166" spans="1:12" ht="31" x14ac:dyDescent="0.3">
      <c r="A166" s="305"/>
      <c r="B166" s="205"/>
      <c r="C166" s="205"/>
      <c r="D166" s="197"/>
      <c r="E166" s="317"/>
      <c r="F166" s="317"/>
      <c r="G166" s="317"/>
      <c r="H166" s="4" t="s">
        <v>449</v>
      </c>
      <c r="I166" s="6" t="s">
        <v>28</v>
      </c>
      <c r="J166" s="61" t="s">
        <v>450</v>
      </c>
      <c r="K166" s="61" t="s">
        <v>451</v>
      </c>
      <c r="L166" s="169" t="s">
        <v>452</v>
      </c>
    </row>
    <row r="167" spans="1:12" ht="31" x14ac:dyDescent="0.3">
      <c r="A167" s="305"/>
      <c r="B167" s="205"/>
      <c r="C167" s="205"/>
      <c r="D167" s="197"/>
      <c r="E167" s="317"/>
      <c r="F167" s="317"/>
      <c r="G167" s="317"/>
      <c r="H167" s="4" t="s">
        <v>453</v>
      </c>
      <c r="I167" s="6" t="s">
        <v>28</v>
      </c>
      <c r="J167" s="61" t="s">
        <v>454</v>
      </c>
      <c r="K167" s="61" t="s">
        <v>455</v>
      </c>
      <c r="L167" s="169" t="s">
        <v>456</v>
      </c>
    </row>
    <row r="168" spans="1:12" ht="31" x14ac:dyDescent="0.3">
      <c r="A168" s="305"/>
      <c r="B168" s="205"/>
      <c r="C168" s="205"/>
      <c r="D168" s="197"/>
      <c r="E168" s="317"/>
      <c r="F168" s="317"/>
      <c r="G168" s="317"/>
      <c r="H168" s="4" t="s">
        <v>457</v>
      </c>
      <c r="I168" s="6" t="s">
        <v>28</v>
      </c>
      <c r="J168" s="6" t="s">
        <v>458</v>
      </c>
      <c r="K168" s="6" t="s">
        <v>220</v>
      </c>
      <c r="L168" s="67" t="s">
        <v>459</v>
      </c>
    </row>
    <row r="169" spans="1:12" ht="31.5" thickBot="1" x14ac:dyDescent="0.35">
      <c r="A169" s="306"/>
      <c r="B169" s="228"/>
      <c r="C169" s="228"/>
      <c r="D169" s="307"/>
      <c r="E169" s="325"/>
      <c r="F169" s="325"/>
      <c r="G169" s="325"/>
      <c r="H169" s="59" t="s">
        <v>460</v>
      </c>
      <c r="I169" s="10" t="s">
        <v>28</v>
      </c>
      <c r="J169" s="10" t="s">
        <v>461</v>
      </c>
      <c r="K169" s="10" t="s">
        <v>462</v>
      </c>
      <c r="L169" s="60" t="s">
        <v>463</v>
      </c>
    </row>
    <row r="170" spans="1:12" ht="31" x14ac:dyDescent="0.3">
      <c r="A170" s="326"/>
      <c r="B170" s="271"/>
      <c r="C170" s="271"/>
      <c r="D170" s="271"/>
      <c r="E170" s="274"/>
      <c r="F170" s="274"/>
      <c r="G170" s="274"/>
      <c r="H170" s="153" t="s">
        <v>464</v>
      </c>
      <c r="I170" s="122" t="s">
        <v>28</v>
      </c>
      <c r="J170" s="122" t="s">
        <v>465</v>
      </c>
      <c r="K170" s="122" t="s">
        <v>465</v>
      </c>
      <c r="L170" s="123" t="s">
        <v>465</v>
      </c>
    </row>
    <row r="171" spans="1:12" ht="31" x14ac:dyDescent="0.3">
      <c r="A171" s="327"/>
      <c r="B171" s="272"/>
      <c r="C171" s="272"/>
      <c r="D171" s="272"/>
      <c r="E171" s="275"/>
      <c r="F171" s="275"/>
      <c r="G171" s="275"/>
      <c r="H171" s="139" t="s">
        <v>466</v>
      </c>
      <c r="I171" s="120" t="s">
        <v>28</v>
      </c>
      <c r="J171" s="120" t="s">
        <v>467</v>
      </c>
      <c r="K171" s="120" t="s">
        <v>468</v>
      </c>
      <c r="L171" s="124" t="s">
        <v>469</v>
      </c>
    </row>
    <row r="172" spans="1:12" ht="31" x14ac:dyDescent="0.3">
      <c r="A172" s="327"/>
      <c r="B172" s="272"/>
      <c r="C172" s="272"/>
      <c r="D172" s="272"/>
      <c r="E172" s="275"/>
      <c r="F172" s="275"/>
      <c r="G172" s="275"/>
      <c r="H172" s="139" t="s">
        <v>470</v>
      </c>
      <c r="I172" s="120" t="s">
        <v>28</v>
      </c>
      <c r="J172" s="120" t="s">
        <v>342</v>
      </c>
      <c r="K172" s="120" t="s">
        <v>471</v>
      </c>
      <c r="L172" s="124" t="s">
        <v>302</v>
      </c>
    </row>
    <row r="173" spans="1:12" ht="31.5" thickBot="1" x14ac:dyDescent="0.35">
      <c r="A173" s="328"/>
      <c r="B173" s="273"/>
      <c r="C173" s="273"/>
      <c r="D173" s="273"/>
      <c r="E173" s="276"/>
      <c r="F173" s="276"/>
      <c r="G173" s="276"/>
      <c r="H173" s="154" t="s">
        <v>472</v>
      </c>
      <c r="I173" s="126" t="s">
        <v>28</v>
      </c>
      <c r="J173" s="126" t="s">
        <v>473</v>
      </c>
      <c r="K173" s="126" t="s">
        <v>474</v>
      </c>
      <c r="L173" s="127" t="s">
        <v>475</v>
      </c>
    </row>
    <row r="174" spans="1:12" ht="32.25" customHeight="1" thickBot="1" x14ac:dyDescent="0.35">
      <c r="A174" s="156" t="s">
        <v>476</v>
      </c>
      <c r="B174" s="236" t="s">
        <v>477</v>
      </c>
      <c r="C174" s="237"/>
      <c r="D174" s="238"/>
      <c r="E174" s="157">
        <f>E175+E210+E214+E220+E229</f>
        <v>1591595</v>
      </c>
      <c r="F174" s="157">
        <f>F175+F210+F214+F220+F229</f>
        <v>1591595</v>
      </c>
      <c r="G174" s="157">
        <f>G175+G210+G214+G220+G229</f>
        <v>1591595</v>
      </c>
      <c r="H174" s="239"/>
      <c r="I174" s="240"/>
      <c r="J174" s="240"/>
      <c r="K174" s="240"/>
      <c r="L174" s="241"/>
    </row>
    <row r="175" spans="1:12" ht="32.25" customHeight="1" thickBot="1" x14ac:dyDescent="0.35">
      <c r="A175" s="21" t="s">
        <v>478</v>
      </c>
      <c r="B175" s="185" t="s">
        <v>479</v>
      </c>
      <c r="C175" s="186"/>
      <c r="D175" s="187"/>
      <c r="E175" s="39">
        <f>E176+E177</f>
        <v>15000</v>
      </c>
      <c r="F175" s="39">
        <f>F176+F177</f>
        <v>15000</v>
      </c>
      <c r="G175" s="39">
        <f>G176+G177</f>
        <v>15000</v>
      </c>
      <c r="H175" s="191"/>
      <c r="I175" s="192"/>
      <c r="J175" s="192"/>
      <c r="K175" s="192"/>
      <c r="L175" s="193"/>
    </row>
    <row r="176" spans="1:12" ht="63" customHeight="1" thickBot="1" x14ac:dyDescent="0.35">
      <c r="A176" s="23" t="s">
        <v>480</v>
      </c>
      <c r="B176" s="27" t="s">
        <v>481</v>
      </c>
      <c r="C176" s="27" t="s">
        <v>72</v>
      </c>
      <c r="D176" s="7"/>
      <c r="E176" s="41"/>
      <c r="F176" s="41"/>
      <c r="G176" s="41"/>
      <c r="H176" s="80" t="s">
        <v>301</v>
      </c>
      <c r="I176" s="78" t="s">
        <v>28</v>
      </c>
      <c r="J176" s="78" t="s">
        <v>350</v>
      </c>
      <c r="K176" s="78" t="s">
        <v>48</v>
      </c>
      <c r="L176" s="84" t="s">
        <v>48</v>
      </c>
    </row>
    <row r="177" spans="1:12" ht="84.65" customHeight="1" x14ac:dyDescent="0.3">
      <c r="A177" s="321" t="s">
        <v>482</v>
      </c>
      <c r="B177" s="318" t="s">
        <v>483</v>
      </c>
      <c r="C177" s="318" t="s">
        <v>170</v>
      </c>
      <c r="D177" s="271" t="s">
        <v>26</v>
      </c>
      <c r="E177" s="274">
        <f t="shared" ref="E177:G177" si="13">SUM(E178:E209)+15000</f>
        <v>15000</v>
      </c>
      <c r="F177" s="274">
        <f t="shared" si="13"/>
        <v>15000</v>
      </c>
      <c r="G177" s="274">
        <f t="shared" si="13"/>
        <v>15000</v>
      </c>
      <c r="H177" s="153" t="s">
        <v>484</v>
      </c>
      <c r="I177" s="122" t="s">
        <v>31</v>
      </c>
      <c r="J177" s="122" t="s">
        <v>60</v>
      </c>
      <c r="K177" s="122" t="s">
        <v>60</v>
      </c>
      <c r="L177" s="123" t="s">
        <v>60</v>
      </c>
    </row>
    <row r="178" spans="1:12" ht="46.5" x14ac:dyDescent="0.3">
      <c r="A178" s="322"/>
      <c r="B178" s="319"/>
      <c r="C178" s="319"/>
      <c r="D178" s="272"/>
      <c r="E178" s="275"/>
      <c r="F178" s="275"/>
      <c r="G178" s="275"/>
      <c r="H178" s="139" t="s">
        <v>485</v>
      </c>
      <c r="I178" s="120" t="s">
        <v>31</v>
      </c>
      <c r="J178" s="120" t="s">
        <v>486</v>
      </c>
      <c r="K178" s="120" t="s">
        <v>486</v>
      </c>
      <c r="L178" s="124" t="s">
        <v>486</v>
      </c>
    </row>
    <row r="179" spans="1:12" ht="62" x14ac:dyDescent="0.3">
      <c r="A179" s="322"/>
      <c r="B179" s="319"/>
      <c r="C179" s="319"/>
      <c r="D179" s="272"/>
      <c r="E179" s="275"/>
      <c r="F179" s="275"/>
      <c r="G179" s="275"/>
      <c r="H179" s="139" t="s">
        <v>487</v>
      </c>
      <c r="I179" s="120" t="s">
        <v>28</v>
      </c>
      <c r="J179" s="120" t="s">
        <v>105</v>
      </c>
      <c r="K179" s="120" t="s">
        <v>488</v>
      </c>
      <c r="L179" s="124" t="s">
        <v>489</v>
      </c>
    </row>
    <row r="180" spans="1:12" ht="81" customHeight="1" x14ac:dyDescent="0.3">
      <c r="A180" s="322"/>
      <c r="B180" s="319"/>
      <c r="C180" s="319"/>
      <c r="D180" s="272"/>
      <c r="E180" s="275"/>
      <c r="F180" s="275"/>
      <c r="G180" s="275"/>
      <c r="H180" s="139" t="s">
        <v>490</v>
      </c>
      <c r="I180" s="120" t="s">
        <v>31</v>
      </c>
      <c r="J180" s="120" t="s">
        <v>220</v>
      </c>
      <c r="K180" s="120" t="s">
        <v>220</v>
      </c>
      <c r="L180" s="124" t="s">
        <v>220</v>
      </c>
    </row>
    <row r="181" spans="1:12" ht="46.5" x14ac:dyDescent="0.3">
      <c r="A181" s="322"/>
      <c r="B181" s="319"/>
      <c r="C181" s="319"/>
      <c r="D181" s="272"/>
      <c r="E181" s="275"/>
      <c r="F181" s="275"/>
      <c r="G181" s="275"/>
      <c r="H181" s="139" t="s">
        <v>491</v>
      </c>
      <c r="I181" s="120" t="s">
        <v>31</v>
      </c>
      <c r="J181" s="120" t="s">
        <v>157</v>
      </c>
      <c r="K181" s="120" t="s">
        <v>157</v>
      </c>
      <c r="L181" s="124" t="s">
        <v>157</v>
      </c>
    </row>
    <row r="182" spans="1:12" ht="55" customHeight="1" x14ac:dyDescent="0.3">
      <c r="A182" s="322"/>
      <c r="B182" s="319"/>
      <c r="C182" s="319"/>
      <c r="D182" s="272"/>
      <c r="E182" s="275"/>
      <c r="F182" s="275"/>
      <c r="G182" s="275"/>
      <c r="H182" s="139" t="s">
        <v>492</v>
      </c>
      <c r="I182" s="120" t="s">
        <v>28</v>
      </c>
      <c r="J182" s="120" t="s">
        <v>104</v>
      </c>
      <c r="K182" s="120" t="s">
        <v>493</v>
      </c>
      <c r="L182" s="124" t="s">
        <v>38</v>
      </c>
    </row>
    <row r="183" spans="1:12" ht="82.5" customHeight="1" thickBot="1" x14ac:dyDescent="0.35">
      <c r="A183" s="323"/>
      <c r="B183" s="320"/>
      <c r="C183" s="320"/>
      <c r="D183" s="273"/>
      <c r="E183" s="276"/>
      <c r="F183" s="276"/>
      <c r="G183" s="276"/>
      <c r="H183" s="154" t="s">
        <v>494</v>
      </c>
      <c r="I183" s="126" t="s">
        <v>31</v>
      </c>
      <c r="J183" s="126" t="s">
        <v>226</v>
      </c>
      <c r="K183" s="126" t="s">
        <v>226</v>
      </c>
      <c r="L183" s="127" t="s">
        <v>226</v>
      </c>
    </row>
    <row r="184" spans="1:12" ht="46.5" x14ac:dyDescent="0.3">
      <c r="A184" s="326"/>
      <c r="B184" s="271"/>
      <c r="C184" s="271"/>
      <c r="D184" s="271"/>
      <c r="E184" s="274"/>
      <c r="F184" s="274"/>
      <c r="G184" s="274"/>
      <c r="H184" s="153" t="s">
        <v>495</v>
      </c>
      <c r="I184" s="122" t="s">
        <v>31</v>
      </c>
      <c r="J184" s="122" t="s">
        <v>496</v>
      </c>
      <c r="K184" s="122" t="s">
        <v>496</v>
      </c>
      <c r="L184" s="123" t="s">
        <v>496</v>
      </c>
    </row>
    <row r="185" spans="1:12" ht="62" x14ac:dyDescent="0.3">
      <c r="A185" s="327"/>
      <c r="B185" s="272"/>
      <c r="C185" s="272"/>
      <c r="D185" s="272"/>
      <c r="E185" s="275"/>
      <c r="F185" s="275"/>
      <c r="G185" s="275"/>
      <c r="H185" s="139" t="s">
        <v>497</v>
      </c>
      <c r="I185" s="120" t="s">
        <v>28</v>
      </c>
      <c r="J185" s="120" t="s">
        <v>498</v>
      </c>
      <c r="K185" s="120" t="s">
        <v>38</v>
      </c>
      <c r="L185" s="124" t="s">
        <v>499</v>
      </c>
    </row>
    <row r="186" spans="1:12" ht="83.5" customHeight="1" x14ac:dyDescent="0.3">
      <c r="A186" s="327"/>
      <c r="B186" s="272"/>
      <c r="C186" s="272"/>
      <c r="D186" s="272"/>
      <c r="E186" s="275"/>
      <c r="F186" s="275"/>
      <c r="G186" s="275"/>
      <c r="H186" s="139" t="s">
        <v>500</v>
      </c>
      <c r="I186" s="120" t="s">
        <v>31</v>
      </c>
      <c r="J186" s="120" t="s">
        <v>60</v>
      </c>
      <c r="K186" s="120" t="s">
        <v>60</v>
      </c>
      <c r="L186" s="124" t="s">
        <v>60</v>
      </c>
    </row>
    <row r="187" spans="1:12" ht="46.5" x14ac:dyDescent="0.3">
      <c r="A187" s="327"/>
      <c r="B187" s="272"/>
      <c r="C187" s="272"/>
      <c r="D187" s="272"/>
      <c r="E187" s="275"/>
      <c r="F187" s="275"/>
      <c r="G187" s="275"/>
      <c r="H187" s="139" t="s">
        <v>501</v>
      </c>
      <c r="I187" s="120" t="s">
        <v>31</v>
      </c>
      <c r="J187" s="120" t="s">
        <v>502</v>
      </c>
      <c r="K187" s="120" t="s">
        <v>502</v>
      </c>
      <c r="L187" s="124" t="s">
        <v>502</v>
      </c>
    </row>
    <row r="188" spans="1:12" ht="70.5" customHeight="1" x14ac:dyDescent="0.3">
      <c r="A188" s="327"/>
      <c r="B188" s="272"/>
      <c r="C188" s="272"/>
      <c r="D188" s="272"/>
      <c r="E188" s="275"/>
      <c r="F188" s="275"/>
      <c r="G188" s="275"/>
      <c r="H188" s="139" t="s">
        <v>503</v>
      </c>
      <c r="I188" s="120" t="s">
        <v>28</v>
      </c>
      <c r="J188" s="120" t="s">
        <v>105</v>
      </c>
      <c r="K188" s="120" t="s">
        <v>488</v>
      </c>
      <c r="L188" s="124" t="s">
        <v>489</v>
      </c>
    </row>
    <row r="189" spans="1:12" ht="80.150000000000006" customHeight="1" x14ac:dyDescent="0.3">
      <c r="A189" s="327"/>
      <c r="B189" s="272"/>
      <c r="C189" s="272"/>
      <c r="D189" s="272"/>
      <c r="E189" s="275"/>
      <c r="F189" s="275"/>
      <c r="G189" s="275"/>
      <c r="H189" s="139" t="s">
        <v>504</v>
      </c>
      <c r="I189" s="120" t="s">
        <v>31</v>
      </c>
      <c r="J189" s="120" t="s">
        <v>126</v>
      </c>
      <c r="K189" s="120" t="s">
        <v>126</v>
      </c>
      <c r="L189" s="124" t="s">
        <v>126</v>
      </c>
    </row>
    <row r="190" spans="1:12" ht="46.5" x14ac:dyDescent="0.3">
      <c r="A190" s="327"/>
      <c r="B190" s="272"/>
      <c r="C190" s="272"/>
      <c r="D190" s="272"/>
      <c r="E190" s="275"/>
      <c r="F190" s="275"/>
      <c r="G190" s="275"/>
      <c r="H190" s="139" t="s">
        <v>505</v>
      </c>
      <c r="I190" s="120" t="s">
        <v>31</v>
      </c>
      <c r="J190" s="120" t="s">
        <v>506</v>
      </c>
      <c r="K190" s="120" t="s">
        <v>506</v>
      </c>
      <c r="L190" s="124" t="s">
        <v>506</v>
      </c>
    </row>
    <row r="191" spans="1:12" ht="62" x14ac:dyDescent="0.3">
      <c r="A191" s="327"/>
      <c r="B191" s="272"/>
      <c r="C191" s="272"/>
      <c r="D191" s="272"/>
      <c r="E191" s="275"/>
      <c r="F191" s="275"/>
      <c r="G191" s="275"/>
      <c r="H191" s="139" t="s">
        <v>507</v>
      </c>
      <c r="I191" s="120" t="s">
        <v>28</v>
      </c>
      <c r="J191" s="120" t="s">
        <v>29</v>
      </c>
      <c r="K191" s="120" t="s">
        <v>29</v>
      </c>
      <c r="L191" s="124" t="s">
        <v>29</v>
      </c>
    </row>
    <row r="192" spans="1:12" ht="85.5" customHeight="1" x14ac:dyDescent="0.3">
      <c r="A192" s="327"/>
      <c r="B192" s="272"/>
      <c r="C192" s="272"/>
      <c r="D192" s="272"/>
      <c r="E192" s="275"/>
      <c r="F192" s="275"/>
      <c r="G192" s="275"/>
      <c r="H192" s="139" t="s">
        <v>508</v>
      </c>
      <c r="I192" s="120" t="s">
        <v>31</v>
      </c>
      <c r="J192" s="120" t="s">
        <v>102</v>
      </c>
      <c r="K192" s="120" t="s">
        <v>102</v>
      </c>
      <c r="L192" s="124" t="s">
        <v>102</v>
      </c>
    </row>
    <row r="193" spans="1:12" ht="46.5" x14ac:dyDescent="0.3">
      <c r="A193" s="327"/>
      <c r="B193" s="272"/>
      <c r="C193" s="272"/>
      <c r="D193" s="272"/>
      <c r="E193" s="275"/>
      <c r="F193" s="275"/>
      <c r="G193" s="275"/>
      <c r="H193" s="139" t="s">
        <v>509</v>
      </c>
      <c r="I193" s="120" t="s">
        <v>31</v>
      </c>
      <c r="J193" s="120" t="s">
        <v>158</v>
      </c>
      <c r="K193" s="120" t="s">
        <v>158</v>
      </c>
      <c r="L193" s="124" t="s">
        <v>158</v>
      </c>
    </row>
    <row r="194" spans="1:12" ht="62.5" thickBot="1" x14ac:dyDescent="0.35">
      <c r="A194" s="328"/>
      <c r="B194" s="273"/>
      <c r="C194" s="273"/>
      <c r="D194" s="273"/>
      <c r="E194" s="276"/>
      <c r="F194" s="276"/>
      <c r="G194" s="276"/>
      <c r="H194" s="154" t="s">
        <v>510</v>
      </c>
      <c r="I194" s="126" t="s">
        <v>28</v>
      </c>
      <c r="J194" s="126" t="s">
        <v>104</v>
      </c>
      <c r="K194" s="126" t="s">
        <v>104</v>
      </c>
      <c r="L194" s="127" t="s">
        <v>104</v>
      </c>
    </row>
    <row r="195" spans="1:12" ht="96.75" customHeight="1" x14ac:dyDescent="0.3">
      <c r="A195" s="326"/>
      <c r="B195" s="271"/>
      <c r="C195" s="271"/>
      <c r="D195" s="271"/>
      <c r="E195" s="274"/>
      <c r="F195" s="274"/>
      <c r="G195" s="274"/>
      <c r="H195" s="153" t="s">
        <v>511</v>
      </c>
      <c r="I195" s="122" t="s">
        <v>31</v>
      </c>
      <c r="J195" s="122" t="s">
        <v>58</v>
      </c>
      <c r="K195" s="122" t="s">
        <v>58</v>
      </c>
      <c r="L195" s="123" t="s">
        <v>58</v>
      </c>
    </row>
    <row r="196" spans="1:12" ht="46.5" x14ac:dyDescent="0.3">
      <c r="A196" s="327"/>
      <c r="B196" s="272"/>
      <c r="C196" s="272"/>
      <c r="D196" s="272"/>
      <c r="E196" s="275"/>
      <c r="F196" s="275"/>
      <c r="G196" s="275"/>
      <c r="H196" s="139" t="s">
        <v>512</v>
      </c>
      <c r="I196" s="120" t="s">
        <v>31</v>
      </c>
      <c r="J196" s="120" t="s">
        <v>513</v>
      </c>
      <c r="K196" s="120" t="s">
        <v>513</v>
      </c>
      <c r="L196" s="124" t="s">
        <v>513</v>
      </c>
    </row>
    <row r="197" spans="1:12" ht="62" x14ac:dyDescent="0.3">
      <c r="A197" s="327"/>
      <c r="B197" s="272"/>
      <c r="C197" s="272"/>
      <c r="D197" s="272"/>
      <c r="E197" s="275"/>
      <c r="F197" s="275"/>
      <c r="G197" s="275"/>
      <c r="H197" s="139" t="s">
        <v>514</v>
      </c>
      <c r="I197" s="120" t="s">
        <v>28</v>
      </c>
      <c r="J197" s="120" t="s">
        <v>515</v>
      </c>
      <c r="K197" s="120" t="s">
        <v>516</v>
      </c>
      <c r="L197" s="124" t="s">
        <v>516</v>
      </c>
    </row>
    <row r="198" spans="1:12" ht="83.15" customHeight="1" x14ac:dyDescent="0.3">
      <c r="A198" s="327"/>
      <c r="B198" s="272"/>
      <c r="C198" s="272"/>
      <c r="D198" s="272"/>
      <c r="E198" s="275"/>
      <c r="F198" s="275"/>
      <c r="G198" s="275"/>
      <c r="H198" s="139" t="s">
        <v>517</v>
      </c>
      <c r="I198" s="120" t="s">
        <v>31</v>
      </c>
      <c r="J198" s="120" t="s">
        <v>58</v>
      </c>
      <c r="K198" s="120" t="s">
        <v>58</v>
      </c>
      <c r="L198" s="124" t="s">
        <v>58</v>
      </c>
    </row>
    <row r="199" spans="1:12" ht="46.5" x14ac:dyDescent="0.3">
      <c r="A199" s="327"/>
      <c r="B199" s="272"/>
      <c r="C199" s="272"/>
      <c r="D199" s="272"/>
      <c r="E199" s="275"/>
      <c r="F199" s="275"/>
      <c r="G199" s="275"/>
      <c r="H199" s="139" t="s">
        <v>518</v>
      </c>
      <c r="I199" s="120" t="s">
        <v>31</v>
      </c>
      <c r="J199" s="120" t="s">
        <v>519</v>
      </c>
      <c r="K199" s="120" t="s">
        <v>519</v>
      </c>
      <c r="L199" s="124" t="s">
        <v>519</v>
      </c>
    </row>
    <row r="200" spans="1:12" ht="52" customHeight="1" x14ac:dyDescent="0.3">
      <c r="A200" s="327"/>
      <c r="B200" s="272"/>
      <c r="C200" s="272"/>
      <c r="D200" s="272"/>
      <c r="E200" s="275"/>
      <c r="F200" s="275"/>
      <c r="G200" s="275"/>
      <c r="H200" s="139" t="s">
        <v>520</v>
      </c>
      <c r="I200" s="120" t="s">
        <v>28</v>
      </c>
      <c r="J200" s="120" t="s">
        <v>105</v>
      </c>
      <c r="K200" s="120" t="s">
        <v>488</v>
      </c>
      <c r="L200" s="124" t="s">
        <v>489</v>
      </c>
    </row>
    <row r="201" spans="1:12" ht="81" customHeight="1" x14ac:dyDescent="0.3">
      <c r="A201" s="327"/>
      <c r="B201" s="272"/>
      <c r="C201" s="272"/>
      <c r="D201" s="272"/>
      <c r="E201" s="275"/>
      <c r="F201" s="275"/>
      <c r="G201" s="275"/>
      <c r="H201" s="139" t="s">
        <v>521</v>
      </c>
      <c r="I201" s="120" t="s">
        <v>31</v>
      </c>
      <c r="J201" s="120" t="s">
        <v>255</v>
      </c>
      <c r="K201" s="120" t="s">
        <v>255</v>
      </c>
      <c r="L201" s="124" t="s">
        <v>255</v>
      </c>
    </row>
    <row r="202" spans="1:12" ht="46.5" x14ac:dyDescent="0.3">
      <c r="A202" s="327"/>
      <c r="B202" s="272"/>
      <c r="C202" s="272"/>
      <c r="D202" s="272"/>
      <c r="E202" s="275"/>
      <c r="F202" s="275"/>
      <c r="G202" s="275"/>
      <c r="H202" s="139" t="s">
        <v>522</v>
      </c>
      <c r="I202" s="120" t="s">
        <v>31</v>
      </c>
      <c r="J202" s="120" t="s">
        <v>523</v>
      </c>
      <c r="K202" s="120" t="s">
        <v>523</v>
      </c>
      <c r="L202" s="124" t="s">
        <v>523</v>
      </c>
    </row>
    <row r="203" spans="1:12" ht="66" customHeight="1" x14ac:dyDescent="0.3">
      <c r="A203" s="327"/>
      <c r="B203" s="272"/>
      <c r="C203" s="272"/>
      <c r="D203" s="272"/>
      <c r="E203" s="275"/>
      <c r="F203" s="275"/>
      <c r="G203" s="275"/>
      <c r="H203" s="139" t="s">
        <v>524</v>
      </c>
      <c r="I203" s="120" t="s">
        <v>28</v>
      </c>
      <c r="J203" s="120" t="s">
        <v>525</v>
      </c>
      <c r="K203" s="120" t="s">
        <v>29</v>
      </c>
      <c r="L203" s="124" t="s">
        <v>29</v>
      </c>
    </row>
    <row r="204" spans="1:12" ht="84" customHeight="1" x14ac:dyDescent="0.3">
      <c r="A204" s="327"/>
      <c r="B204" s="272"/>
      <c r="C204" s="272"/>
      <c r="D204" s="272"/>
      <c r="E204" s="275"/>
      <c r="F204" s="275"/>
      <c r="G204" s="275"/>
      <c r="H204" s="139" t="s">
        <v>526</v>
      </c>
      <c r="I204" s="120" t="s">
        <v>31</v>
      </c>
      <c r="J204" s="120" t="s">
        <v>126</v>
      </c>
      <c r="K204" s="120" t="s">
        <v>126</v>
      </c>
      <c r="L204" s="124" t="s">
        <v>126</v>
      </c>
    </row>
    <row r="205" spans="1:12" ht="47" thickBot="1" x14ac:dyDescent="0.35">
      <c r="A205" s="328"/>
      <c r="B205" s="273"/>
      <c r="C205" s="273"/>
      <c r="D205" s="273"/>
      <c r="E205" s="276"/>
      <c r="F205" s="276"/>
      <c r="G205" s="276"/>
      <c r="H205" s="154" t="s">
        <v>527</v>
      </c>
      <c r="I205" s="126" t="s">
        <v>31</v>
      </c>
      <c r="J205" s="126" t="s">
        <v>158</v>
      </c>
      <c r="K205" s="126" t="s">
        <v>158</v>
      </c>
      <c r="L205" s="127" t="s">
        <v>158</v>
      </c>
    </row>
    <row r="206" spans="1:12" ht="62" x14ac:dyDescent="0.3">
      <c r="A206" s="326"/>
      <c r="B206" s="271"/>
      <c r="C206" s="271"/>
      <c r="D206" s="271"/>
      <c r="E206" s="274"/>
      <c r="F206" s="274"/>
      <c r="G206" s="274"/>
      <c r="H206" s="153" t="s">
        <v>528</v>
      </c>
      <c r="I206" s="122" t="s">
        <v>28</v>
      </c>
      <c r="J206" s="122" t="s">
        <v>105</v>
      </c>
      <c r="K206" s="122" t="s">
        <v>488</v>
      </c>
      <c r="L206" s="123" t="s">
        <v>489</v>
      </c>
    </row>
    <row r="207" spans="1:12" ht="82.5" customHeight="1" x14ac:dyDescent="0.3">
      <c r="A207" s="327"/>
      <c r="B207" s="272"/>
      <c r="C207" s="272"/>
      <c r="D207" s="272"/>
      <c r="E207" s="275"/>
      <c r="F207" s="275"/>
      <c r="G207" s="275"/>
      <c r="H207" s="139" t="s">
        <v>529</v>
      </c>
      <c r="I207" s="120" t="s">
        <v>31</v>
      </c>
      <c r="J207" s="120" t="s">
        <v>102</v>
      </c>
      <c r="K207" s="120" t="s">
        <v>58</v>
      </c>
      <c r="L207" s="124" t="s">
        <v>58</v>
      </c>
    </row>
    <row r="208" spans="1:12" ht="46.5" x14ac:dyDescent="0.3">
      <c r="A208" s="327"/>
      <c r="B208" s="272"/>
      <c r="C208" s="272"/>
      <c r="D208" s="272"/>
      <c r="E208" s="275"/>
      <c r="F208" s="275"/>
      <c r="G208" s="275"/>
      <c r="H208" s="139" t="s">
        <v>530</v>
      </c>
      <c r="I208" s="120" t="s">
        <v>31</v>
      </c>
      <c r="J208" s="120" t="s">
        <v>531</v>
      </c>
      <c r="K208" s="120" t="s">
        <v>531</v>
      </c>
      <c r="L208" s="124" t="s">
        <v>531</v>
      </c>
    </row>
    <row r="209" spans="1:12" ht="62.5" thickBot="1" x14ac:dyDescent="0.35">
      <c r="A209" s="328"/>
      <c r="B209" s="273"/>
      <c r="C209" s="273"/>
      <c r="D209" s="273"/>
      <c r="E209" s="276"/>
      <c r="F209" s="276"/>
      <c r="G209" s="276"/>
      <c r="H209" s="154" t="s">
        <v>532</v>
      </c>
      <c r="I209" s="126" t="s">
        <v>28</v>
      </c>
      <c r="J209" s="126" t="s">
        <v>105</v>
      </c>
      <c r="K209" s="126" t="s">
        <v>488</v>
      </c>
      <c r="L209" s="127" t="s">
        <v>489</v>
      </c>
    </row>
    <row r="210" spans="1:12" ht="32.25" customHeight="1" thickBot="1" x14ac:dyDescent="0.35">
      <c r="A210" s="24" t="s">
        <v>533</v>
      </c>
      <c r="B210" s="221" t="s">
        <v>534</v>
      </c>
      <c r="C210" s="222"/>
      <c r="D210" s="223"/>
      <c r="E210" s="158">
        <f t="shared" ref="E210:G210" si="14">SUM(E211:E211)</f>
        <v>208000</v>
      </c>
      <c r="F210" s="158">
        <f t="shared" si="14"/>
        <v>208000</v>
      </c>
      <c r="G210" s="158">
        <f t="shared" si="14"/>
        <v>208000</v>
      </c>
      <c r="H210" s="224"/>
      <c r="I210" s="225"/>
      <c r="J210" s="225"/>
      <c r="K210" s="225"/>
      <c r="L210" s="226"/>
    </row>
    <row r="211" spans="1:12" ht="93" x14ac:dyDescent="0.3">
      <c r="A211" s="302" t="s">
        <v>535</v>
      </c>
      <c r="B211" s="229" t="s">
        <v>536</v>
      </c>
      <c r="C211" s="229" t="s">
        <v>197</v>
      </c>
      <c r="D211" s="243" t="s">
        <v>337</v>
      </c>
      <c r="E211" s="255">
        <v>208000</v>
      </c>
      <c r="F211" s="255">
        <v>208000</v>
      </c>
      <c r="G211" s="255">
        <v>208000</v>
      </c>
      <c r="H211" s="3" t="s">
        <v>537</v>
      </c>
      <c r="I211" s="5" t="s">
        <v>28</v>
      </c>
      <c r="J211" s="5" t="s">
        <v>105</v>
      </c>
      <c r="K211" s="5" t="s">
        <v>105</v>
      </c>
      <c r="L211" s="31" t="s">
        <v>105</v>
      </c>
    </row>
    <row r="212" spans="1:12" ht="31" x14ac:dyDescent="0.3">
      <c r="A212" s="303"/>
      <c r="B212" s="205"/>
      <c r="C212" s="205"/>
      <c r="D212" s="197"/>
      <c r="E212" s="317"/>
      <c r="F212" s="317"/>
      <c r="G212" s="317"/>
      <c r="H212" s="4" t="s">
        <v>538</v>
      </c>
      <c r="I212" s="6" t="s">
        <v>28</v>
      </c>
      <c r="J212" s="6" t="s">
        <v>29</v>
      </c>
      <c r="K212" s="6" t="s">
        <v>29</v>
      </c>
      <c r="L212" s="32" t="s">
        <v>29</v>
      </c>
    </row>
    <row r="213" spans="1:12" ht="62.5" thickBot="1" x14ac:dyDescent="0.35">
      <c r="A213" s="313"/>
      <c r="B213" s="206"/>
      <c r="C213" s="206"/>
      <c r="D213" s="198"/>
      <c r="E213" s="256">
        <v>0</v>
      </c>
      <c r="F213" s="256">
        <v>0</v>
      </c>
      <c r="G213" s="256">
        <v>0</v>
      </c>
      <c r="H213" s="4" t="s">
        <v>539</v>
      </c>
      <c r="I213" s="6" t="s">
        <v>31</v>
      </c>
      <c r="J213" s="6" t="s">
        <v>47</v>
      </c>
      <c r="K213" s="6" t="s">
        <v>47</v>
      </c>
      <c r="L213" s="32" t="s">
        <v>47</v>
      </c>
    </row>
    <row r="214" spans="1:12" ht="20.25" customHeight="1" thickBot="1" x14ac:dyDescent="0.35">
      <c r="A214" s="117" t="s">
        <v>540</v>
      </c>
      <c r="B214" s="215" t="s">
        <v>541</v>
      </c>
      <c r="C214" s="216"/>
      <c r="D214" s="217"/>
      <c r="E214" s="118">
        <f t="shared" ref="E214:G214" si="15">SUM(E215:E215)</f>
        <v>350000</v>
      </c>
      <c r="F214" s="118">
        <f t="shared" si="15"/>
        <v>350000</v>
      </c>
      <c r="G214" s="118">
        <f t="shared" si="15"/>
        <v>350000</v>
      </c>
      <c r="H214" s="218"/>
      <c r="I214" s="219"/>
      <c r="J214" s="219"/>
      <c r="K214" s="219"/>
      <c r="L214" s="220"/>
    </row>
    <row r="215" spans="1:12" ht="86.25" customHeight="1" x14ac:dyDescent="0.3">
      <c r="A215" s="304" t="s">
        <v>542</v>
      </c>
      <c r="B215" s="227" t="s">
        <v>543</v>
      </c>
      <c r="C215" s="227" t="s">
        <v>544</v>
      </c>
      <c r="D215" s="257" t="s">
        <v>26</v>
      </c>
      <c r="E215" s="324">
        <f>SUM(E216:E219)+350000</f>
        <v>350000</v>
      </c>
      <c r="F215" s="324">
        <f>SUM(F216:F219)+350000</f>
        <v>350000</v>
      </c>
      <c r="G215" s="324">
        <f>SUM(G216:G219)+350000</f>
        <v>350000</v>
      </c>
      <c r="H215" s="57" t="s">
        <v>545</v>
      </c>
      <c r="I215" s="9" t="s">
        <v>28</v>
      </c>
      <c r="J215" s="9" t="s">
        <v>126</v>
      </c>
      <c r="K215" s="9" t="s">
        <v>126</v>
      </c>
      <c r="L215" s="58" t="s">
        <v>126</v>
      </c>
    </row>
    <row r="216" spans="1:12" ht="50.25" customHeight="1" x14ac:dyDescent="0.3">
      <c r="A216" s="305"/>
      <c r="B216" s="205"/>
      <c r="C216" s="205"/>
      <c r="D216" s="197"/>
      <c r="E216" s="317"/>
      <c r="F216" s="317"/>
      <c r="G216" s="317"/>
      <c r="H216" s="4" t="s">
        <v>546</v>
      </c>
      <c r="I216" s="6" t="s">
        <v>31</v>
      </c>
      <c r="J216" s="6" t="s">
        <v>547</v>
      </c>
      <c r="K216" s="6" t="s">
        <v>548</v>
      </c>
      <c r="L216" s="67" t="s">
        <v>549</v>
      </c>
    </row>
    <row r="217" spans="1:12" ht="21" customHeight="1" x14ac:dyDescent="0.3">
      <c r="A217" s="305"/>
      <c r="B217" s="205"/>
      <c r="C217" s="205"/>
      <c r="D217" s="197"/>
      <c r="E217" s="317"/>
      <c r="F217" s="317"/>
      <c r="G217" s="317"/>
      <c r="H217" s="4" t="s">
        <v>550</v>
      </c>
      <c r="I217" s="6" t="s">
        <v>31</v>
      </c>
      <c r="J217" s="6" t="s">
        <v>551</v>
      </c>
      <c r="K217" s="6" t="s">
        <v>551</v>
      </c>
      <c r="L217" s="67" t="s">
        <v>551</v>
      </c>
    </row>
    <row r="218" spans="1:12" ht="67.5" customHeight="1" thickBot="1" x14ac:dyDescent="0.35">
      <c r="A218" s="306"/>
      <c r="B218" s="228"/>
      <c r="C218" s="228"/>
      <c r="D218" s="307"/>
      <c r="E218" s="325"/>
      <c r="F218" s="325"/>
      <c r="G218" s="325"/>
      <c r="H218" s="59" t="s">
        <v>552</v>
      </c>
      <c r="I218" s="10" t="s">
        <v>28</v>
      </c>
      <c r="J218" s="10" t="s">
        <v>29</v>
      </c>
      <c r="K218" s="10" t="s">
        <v>29</v>
      </c>
      <c r="L218" s="60" t="s">
        <v>29</v>
      </c>
    </row>
    <row r="219" spans="1:12" ht="66.75" customHeight="1" thickBot="1" x14ac:dyDescent="0.35">
      <c r="A219" s="140"/>
      <c r="B219" s="141"/>
      <c r="C219" s="141"/>
      <c r="D219" s="141"/>
      <c r="E219" s="159"/>
      <c r="F219" s="159"/>
      <c r="G219" s="159"/>
      <c r="H219" s="145" t="s">
        <v>553</v>
      </c>
      <c r="I219" s="143" t="s">
        <v>31</v>
      </c>
      <c r="J219" s="143" t="s">
        <v>133</v>
      </c>
      <c r="K219" s="143" t="s">
        <v>133</v>
      </c>
      <c r="L219" s="151" t="s">
        <v>133</v>
      </c>
    </row>
    <row r="220" spans="1:12" ht="16" thickBot="1" x14ac:dyDescent="0.35">
      <c r="A220" s="24" t="s">
        <v>554</v>
      </c>
      <c r="B220" s="221" t="s">
        <v>555</v>
      </c>
      <c r="C220" s="222"/>
      <c r="D220" s="223"/>
      <c r="E220" s="158">
        <f t="shared" ref="E220:G220" si="16">E221+E222+E225+E228</f>
        <v>384495</v>
      </c>
      <c r="F220" s="158">
        <f t="shared" si="16"/>
        <v>384495</v>
      </c>
      <c r="G220" s="158">
        <f t="shared" si="16"/>
        <v>384495</v>
      </c>
      <c r="H220" s="224"/>
      <c r="I220" s="225"/>
      <c r="J220" s="225"/>
      <c r="K220" s="225"/>
      <c r="L220" s="226"/>
    </row>
    <row r="221" spans="1:12" ht="83.25" customHeight="1" thickBot="1" x14ac:dyDescent="0.35">
      <c r="A221" s="22" t="s">
        <v>556</v>
      </c>
      <c r="B221" s="3" t="s">
        <v>557</v>
      </c>
      <c r="C221" s="3" t="s">
        <v>558</v>
      </c>
      <c r="D221" s="5" t="s">
        <v>26</v>
      </c>
      <c r="E221" s="42">
        <v>9280</v>
      </c>
      <c r="F221" s="42">
        <v>9280</v>
      </c>
      <c r="G221" s="42">
        <v>9280</v>
      </c>
      <c r="H221" s="3" t="s">
        <v>559</v>
      </c>
      <c r="I221" s="5" t="s">
        <v>31</v>
      </c>
      <c r="J221" s="5" t="s">
        <v>126</v>
      </c>
      <c r="K221" s="5" t="s">
        <v>126</v>
      </c>
      <c r="L221" s="31" t="s">
        <v>126</v>
      </c>
    </row>
    <row r="222" spans="1:12" ht="31" x14ac:dyDescent="0.3">
      <c r="A222" s="302" t="s">
        <v>560</v>
      </c>
      <c r="B222" s="229" t="s">
        <v>561</v>
      </c>
      <c r="C222" s="229" t="s">
        <v>562</v>
      </c>
      <c r="D222" s="243" t="s">
        <v>26</v>
      </c>
      <c r="E222" s="255">
        <f>SUM(E223:E224)+300000</f>
        <v>300000</v>
      </c>
      <c r="F222" s="255">
        <f>SUM(F223:F224)+300000</f>
        <v>300000</v>
      </c>
      <c r="G222" s="255">
        <f>SUM(G223:G224)+300000</f>
        <v>300000</v>
      </c>
      <c r="H222" s="3" t="s">
        <v>563</v>
      </c>
      <c r="I222" s="5" t="s">
        <v>31</v>
      </c>
      <c r="J222" s="5" t="s">
        <v>272</v>
      </c>
      <c r="K222" s="5" t="s">
        <v>272</v>
      </c>
      <c r="L222" s="31" t="s">
        <v>272</v>
      </c>
    </row>
    <row r="223" spans="1:12" ht="46.5" x14ac:dyDescent="0.3">
      <c r="A223" s="303"/>
      <c r="B223" s="205"/>
      <c r="C223" s="205"/>
      <c r="D223" s="197"/>
      <c r="E223" s="317">
        <v>0</v>
      </c>
      <c r="F223" s="317">
        <v>0</v>
      </c>
      <c r="G223" s="317">
        <v>0</v>
      </c>
      <c r="H223" s="4" t="s">
        <v>564</v>
      </c>
      <c r="I223" s="6" t="s">
        <v>31</v>
      </c>
      <c r="J223" s="6" t="s">
        <v>565</v>
      </c>
      <c r="K223" s="6" t="s">
        <v>565</v>
      </c>
      <c r="L223" s="32" t="s">
        <v>565</v>
      </c>
    </row>
    <row r="224" spans="1:12" ht="47" thickBot="1" x14ac:dyDescent="0.35">
      <c r="A224" s="313"/>
      <c r="B224" s="206"/>
      <c r="C224" s="206"/>
      <c r="D224" s="198"/>
      <c r="E224" s="256">
        <v>0</v>
      </c>
      <c r="F224" s="256">
        <v>0</v>
      </c>
      <c r="G224" s="256">
        <v>0</v>
      </c>
      <c r="H224" s="4" t="s">
        <v>566</v>
      </c>
      <c r="I224" s="6" t="s">
        <v>31</v>
      </c>
      <c r="J224" s="6" t="s">
        <v>220</v>
      </c>
      <c r="K224" s="6" t="s">
        <v>220</v>
      </c>
      <c r="L224" s="32" t="s">
        <v>220</v>
      </c>
    </row>
    <row r="225" spans="1:12" ht="46.5" x14ac:dyDescent="0.3">
      <c r="A225" s="302" t="s">
        <v>567</v>
      </c>
      <c r="B225" s="229" t="s">
        <v>568</v>
      </c>
      <c r="C225" s="229" t="s">
        <v>562</v>
      </c>
      <c r="D225" s="243" t="s">
        <v>26</v>
      </c>
      <c r="E225" s="255">
        <f>SUM(E226:E227)+50500</f>
        <v>50500</v>
      </c>
      <c r="F225" s="255">
        <f>SUM(F226:F227)+50500</f>
        <v>50500</v>
      </c>
      <c r="G225" s="255">
        <f>SUM(G226:G227)+50500</f>
        <v>50500</v>
      </c>
      <c r="H225" s="3" t="s">
        <v>569</v>
      </c>
      <c r="I225" s="5" t="s">
        <v>31</v>
      </c>
      <c r="J225" s="5" t="s">
        <v>516</v>
      </c>
      <c r="K225" s="5" t="s">
        <v>516</v>
      </c>
      <c r="L225" s="31" t="s">
        <v>516</v>
      </c>
    </row>
    <row r="226" spans="1:12" ht="46.5" x14ac:dyDescent="0.3">
      <c r="A226" s="303"/>
      <c r="B226" s="205"/>
      <c r="C226" s="205"/>
      <c r="D226" s="197"/>
      <c r="E226" s="317">
        <v>0</v>
      </c>
      <c r="F226" s="317">
        <v>0</v>
      </c>
      <c r="G226" s="317">
        <v>0</v>
      </c>
      <c r="H226" s="4" t="s">
        <v>570</v>
      </c>
      <c r="I226" s="6" t="s">
        <v>31</v>
      </c>
      <c r="J226" s="6" t="s">
        <v>571</v>
      </c>
      <c r="K226" s="6" t="s">
        <v>571</v>
      </c>
      <c r="L226" s="32" t="s">
        <v>571</v>
      </c>
    </row>
    <row r="227" spans="1:12" ht="62.5" thickBot="1" x14ac:dyDescent="0.35">
      <c r="A227" s="313"/>
      <c r="B227" s="206"/>
      <c r="C227" s="206"/>
      <c r="D227" s="198"/>
      <c r="E227" s="256">
        <v>0</v>
      </c>
      <c r="F227" s="256">
        <v>0</v>
      </c>
      <c r="G227" s="256">
        <v>0</v>
      </c>
      <c r="H227" s="4" t="s">
        <v>572</v>
      </c>
      <c r="I227" s="6" t="s">
        <v>31</v>
      </c>
      <c r="J227" s="6" t="s">
        <v>220</v>
      </c>
      <c r="K227" s="6" t="s">
        <v>220</v>
      </c>
      <c r="L227" s="32" t="s">
        <v>220</v>
      </c>
    </row>
    <row r="228" spans="1:12" ht="66.650000000000006" customHeight="1" thickBot="1" x14ac:dyDescent="0.35">
      <c r="A228" s="22" t="s">
        <v>573</v>
      </c>
      <c r="B228" s="3" t="s">
        <v>574</v>
      </c>
      <c r="C228" s="3" t="s">
        <v>558</v>
      </c>
      <c r="D228" s="5" t="s">
        <v>26</v>
      </c>
      <c r="E228" s="42">
        <v>24715</v>
      </c>
      <c r="F228" s="42">
        <v>24715</v>
      </c>
      <c r="G228" s="42">
        <v>24715</v>
      </c>
      <c r="H228" s="3" t="s">
        <v>575</v>
      </c>
      <c r="I228" s="5" t="s">
        <v>28</v>
      </c>
      <c r="J228" s="5" t="s">
        <v>240</v>
      </c>
      <c r="K228" s="5" t="s">
        <v>240</v>
      </c>
      <c r="L228" s="31" t="s">
        <v>240</v>
      </c>
    </row>
    <row r="229" spans="1:12" ht="16" thickBot="1" x14ac:dyDescent="0.35">
      <c r="A229" s="117" t="s">
        <v>576</v>
      </c>
      <c r="B229" s="215" t="s">
        <v>577</v>
      </c>
      <c r="C229" s="216"/>
      <c r="D229" s="217"/>
      <c r="E229" s="118">
        <f>E230+E235+E244+E246+E248+E252+E254+E255</f>
        <v>634100</v>
      </c>
      <c r="F229" s="118">
        <f>F230+F235+F244+F246+F248+F252+F254+F255</f>
        <v>634100</v>
      </c>
      <c r="G229" s="118">
        <f>G230+G235+G244+G246+G248+G252+G254+G255</f>
        <v>634100</v>
      </c>
      <c r="H229" s="218"/>
      <c r="I229" s="219"/>
      <c r="J229" s="219"/>
      <c r="K229" s="219"/>
      <c r="L229" s="220"/>
    </row>
    <row r="230" spans="1:12" ht="31" customHeight="1" x14ac:dyDescent="0.3">
      <c r="A230" s="321" t="s">
        <v>578</v>
      </c>
      <c r="B230" s="318" t="s">
        <v>579</v>
      </c>
      <c r="C230" s="318" t="s">
        <v>377</v>
      </c>
      <c r="D230" s="271" t="s">
        <v>270</v>
      </c>
      <c r="E230" s="274">
        <v>269400</v>
      </c>
      <c r="F230" s="274">
        <v>269400</v>
      </c>
      <c r="G230" s="274">
        <v>269400</v>
      </c>
      <c r="H230" s="153" t="s">
        <v>580</v>
      </c>
      <c r="I230" s="122" t="s">
        <v>28</v>
      </c>
      <c r="J230" s="122" t="s">
        <v>489</v>
      </c>
      <c r="K230" s="122" t="s">
        <v>581</v>
      </c>
      <c r="L230" s="123" t="s">
        <v>581</v>
      </c>
    </row>
    <row r="231" spans="1:12" ht="62" x14ac:dyDescent="0.3">
      <c r="A231" s="322"/>
      <c r="B231" s="319"/>
      <c r="C231" s="319"/>
      <c r="D231" s="272"/>
      <c r="E231" s="275"/>
      <c r="F231" s="275"/>
      <c r="G231" s="275"/>
      <c r="H231" s="139" t="s">
        <v>582</v>
      </c>
      <c r="I231" s="120" t="s">
        <v>31</v>
      </c>
      <c r="J231" s="120" t="s">
        <v>317</v>
      </c>
      <c r="K231" s="120" t="s">
        <v>318</v>
      </c>
      <c r="L231" s="124" t="s">
        <v>583</v>
      </c>
    </row>
    <row r="232" spans="1:12" ht="31" x14ac:dyDescent="0.3">
      <c r="A232" s="322"/>
      <c r="B232" s="319"/>
      <c r="C232" s="319"/>
      <c r="D232" s="272"/>
      <c r="E232" s="275"/>
      <c r="F232" s="275"/>
      <c r="G232" s="275"/>
      <c r="H232" s="139" t="s">
        <v>584</v>
      </c>
      <c r="I232" s="120" t="s">
        <v>31</v>
      </c>
      <c r="J232" s="120" t="s">
        <v>585</v>
      </c>
      <c r="K232" s="120" t="s">
        <v>585</v>
      </c>
      <c r="L232" s="124" t="s">
        <v>585</v>
      </c>
    </row>
    <row r="233" spans="1:12" ht="47" thickBot="1" x14ac:dyDescent="0.35">
      <c r="A233" s="323"/>
      <c r="B233" s="320"/>
      <c r="C233" s="320"/>
      <c r="D233" s="273"/>
      <c r="E233" s="276"/>
      <c r="F233" s="276"/>
      <c r="G233" s="276"/>
      <c r="H233" s="154" t="s">
        <v>586</v>
      </c>
      <c r="I233" s="126" t="s">
        <v>31</v>
      </c>
      <c r="J233" s="126" t="s">
        <v>587</v>
      </c>
      <c r="K233" s="126" t="s">
        <v>588</v>
      </c>
      <c r="L233" s="127" t="s">
        <v>589</v>
      </c>
    </row>
    <row r="234" spans="1:12" ht="47" thickBot="1" x14ac:dyDescent="0.35">
      <c r="A234" s="132"/>
      <c r="B234" s="134"/>
      <c r="C234" s="134"/>
      <c r="D234" s="134"/>
      <c r="E234" s="152">
        <v>0</v>
      </c>
      <c r="F234" s="152">
        <v>0</v>
      </c>
      <c r="G234" s="152">
        <v>0</v>
      </c>
      <c r="H234" s="93" t="s">
        <v>590</v>
      </c>
      <c r="I234" s="92" t="s">
        <v>31</v>
      </c>
      <c r="J234" s="92" t="s">
        <v>413</v>
      </c>
      <c r="K234" s="92" t="s">
        <v>591</v>
      </c>
      <c r="L234" s="91" t="s">
        <v>592</v>
      </c>
    </row>
    <row r="235" spans="1:12" ht="46.5" x14ac:dyDescent="0.3">
      <c r="A235" s="302" t="s">
        <v>593</v>
      </c>
      <c r="B235" s="229" t="s">
        <v>594</v>
      </c>
      <c r="C235" s="229" t="s">
        <v>377</v>
      </c>
      <c r="D235" s="243" t="s">
        <v>310</v>
      </c>
      <c r="E235" s="255">
        <f>SUM(E236:E243)+135500</f>
        <v>135500</v>
      </c>
      <c r="F235" s="255">
        <f>SUM(F236:F243)+135500</f>
        <v>135500</v>
      </c>
      <c r="G235" s="255">
        <f>SUM(G236:G243)+135500</f>
        <v>135500</v>
      </c>
      <c r="H235" s="3" t="s">
        <v>595</v>
      </c>
      <c r="I235" s="5" t="s">
        <v>28</v>
      </c>
      <c r="J235" s="5" t="s">
        <v>29</v>
      </c>
      <c r="K235" s="5" t="s">
        <v>29</v>
      </c>
      <c r="L235" s="31" t="s">
        <v>29</v>
      </c>
    </row>
    <row r="236" spans="1:12" ht="36" customHeight="1" x14ac:dyDescent="0.3">
      <c r="A236" s="303"/>
      <c r="B236" s="205"/>
      <c r="C236" s="205"/>
      <c r="D236" s="197"/>
      <c r="E236" s="317">
        <v>0</v>
      </c>
      <c r="F236" s="317">
        <v>0</v>
      </c>
      <c r="G236" s="317">
        <v>0</v>
      </c>
      <c r="H236" s="4" t="s">
        <v>596</v>
      </c>
      <c r="I236" s="6" t="s">
        <v>31</v>
      </c>
      <c r="J236" s="6" t="s">
        <v>75</v>
      </c>
      <c r="K236" s="6" t="s">
        <v>75</v>
      </c>
      <c r="L236" s="32" t="s">
        <v>75</v>
      </c>
    </row>
    <row r="237" spans="1:12" ht="93" x14ac:dyDescent="0.3">
      <c r="A237" s="303"/>
      <c r="B237" s="205"/>
      <c r="C237" s="205"/>
      <c r="D237" s="197"/>
      <c r="E237" s="317">
        <v>0</v>
      </c>
      <c r="F237" s="317">
        <v>0</v>
      </c>
      <c r="G237" s="317">
        <v>0</v>
      </c>
      <c r="H237" s="4" t="s">
        <v>597</v>
      </c>
      <c r="I237" s="6" t="s">
        <v>31</v>
      </c>
      <c r="J237" s="6" t="s">
        <v>598</v>
      </c>
      <c r="K237" s="6" t="s">
        <v>598</v>
      </c>
      <c r="L237" s="32" t="s">
        <v>598</v>
      </c>
    </row>
    <row r="238" spans="1:12" ht="46.5" x14ac:dyDescent="0.3">
      <c r="A238" s="303"/>
      <c r="B238" s="205"/>
      <c r="C238" s="205"/>
      <c r="D238" s="197"/>
      <c r="E238" s="317">
        <v>0</v>
      </c>
      <c r="F238" s="317">
        <v>0</v>
      </c>
      <c r="G238" s="317">
        <v>0</v>
      </c>
      <c r="H238" s="4" t="s">
        <v>599</v>
      </c>
      <c r="I238" s="6" t="s">
        <v>28</v>
      </c>
      <c r="J238" s="6" t="s">
        <v>29</v>
      </c>
      <c r="K238" s="6" t="s">
        <v>29</v>
      </c>
      <c r="L238" s="32" t="s">
        <v>29</v>
      </c>
    </row>
    <row r="239" spans="1:12" ht="49" customHeight="1" x14ac:dyDescent="0.3">
      <c r="A239" s="303"/>
      <c r="B239" s="205"/>
      <c r="C239" s="205"/>
      <c r="D239" s="197"/>
      <c r="E239" s="317">
        <v>0</v>
      </c>
      <c r="F239" s="317">
        <v>0</v>
      </c>
      <c r="G239" s="317">
        <v>0</v>
      </c>
      <c r="H239" s="4" t="s">
        <v>600</v>
      </c>
      <c r="I239" s="6" t="s">
        <v>31</v>
      </c>
      <c r="J239" s="6" t="s">
        <v>47</v>
      </c>
      <c r="K239" s="6" t="s">
        <v>47</v>
      </c>
      <c r="L239" s="32" t="s">
        <v>47</v>
      </c>
    </row>
    <row r="240" spans="1:12" ht="62" x14ac:dyDescent="0.3">
      <c r="A240" s="303"/>
      <c r="B240" s="205"/>
      <c r="C240" s="205"/>
      <c r="D240" s="197"/>
      <c r="E240" s="317">
        <v>0</v>
      </c>
      <c r="F240" s="317">
        <v>0</v>
      </c>
      <c r="G240" s="317">
        <v>0</v>
      </c>
      <c r="H240" s="4" t="s">
        <v>601</v>
      </c>
      <c r="I240" s="6" t="s">
        <v>28</v>
      </c>
      <c r="J240" s="6" t="s">
        <v>29</v>
      </c>
      <c r="K240" s="6" t="s">
        <v>29</v>
      </c>
      <c r="L240" s="32" t="s">
        <v>29</v>
      </c>
    </row>
    <row r="241" spans="1:12" ht="15.5" x14ac:dyDescent="0.3">
      <c r="A241" s="303"/>
      <c r="B241" s="205"/>
      <c r="C241" s="205"/>
      <c r="D241" s="197"/>
      <c r="E241" s="317">
        <v>0</v>
      </c>
      <c r="F241" s="317">
        <v>0</v>
      </c>
      <c r="G241" s="317">
        <v>0</v>
      </c>
      <c r="H241" s="4" t="s">
        <v>602</v>
      </c>
      <c r="I241" s="6" t="s">
        <v>31</v>
      </c>
      <c r="J241" s="6" t="s">
        <v>126</v>
      </c>
      <c r="K241" s="6" t="s">
        <v>126</v>
      </c>
      <c r="L241" s="32" t="s">
        <v>126</v>
      </c>
    </row>
    <row r="242" spans="1:12" ht="46.5" x14ac:dyDescent="0.3">
      <c r="A242" s="303"/>
      <c r="B242" s="205"/>
      <c r="C242" s="205"/>
      <c r="D242" s="197"/>
      <c r="E242" s="317">
        <v>0</v>
      </c>
      <c r="F242" s="317">
        <v>0</v>
      </c>
      <c r="G242" s="317">
        <v>0</v>
      </c>
      <c r="H242" s="4" t="s">
        <v>603</v>
      </c>
      <c r="I242" s="6" t="s">
        <v>31</v>
      </c>
      <c r="J242" s="6" t="s">
        <v>604</v>
      </c>
      <c r="K242" s="6" t="s">
        <v>604</v>
      </c>
      <c r="L242" s="32" t="s">
        <v>604</v>
      </c>
    </row>
    <row r="243" spans="1:12" ht="47" thickBot="1" x14ac:dyDescent="0.35">
      <c r="A243" s="313"/>
      <c r="B243" s="206"/>
      <c r="C243" s="206"/>
      <c r="D243" s="198"/>
      <c r="E243" s="256">
        <v>0</v>
      </c>
      <c r="F243" s="256">
        <v>0</v>
      </c>
      <c r="G243" s="256">
        <v>0</v>
      </c>
      <c r="H243" s="4" t="s">
        <v>605</v>
      </c>
      <c r="I243" s="6" t="s">
        <v>28</v>
      </c>
      <c r="J243" s="6" t="s">
        <v>29</v>
      </c>
      <c r="K243" s="6" t="s">
        <v>29</v>
      </c>
      <c r="L243" s="32" t="s">
        <v>29</v>
      </c>
    </row>
    <row r="244" spans="1:12" ht="62" x14ac:dyDescent="0.3">
      <c r="A244" s="302" t="s">
        <v>606</v>
      </c>
      <c r="B244" s="229" t="s">
        <v>607</v>
      </c>
      <c r="C244" s="229" t="s">
        <v>377</v>
      </c>
      <c r="D244" s="243" t="s">
        <v>310</v>
      </c>
      <c r="E244" s="255">
        <f>SUM(E245:E245)+42200</f>
        <v>42200</v>
      </c>
      <c r="F244" s="255">
        <f>SUM(F245:F245)+42200</f>
        <v>42200</v>
      </c>
      <c r="G244" s="255">
        <f>SUM(G245:G245)+42200</f>
        <v>42200</v>
      </c>
      <c r="H244" s="3" t="s">
        <v>608</v>
      </c>
      <c r="I244" s="5" t="s">
        <v>31</v>
      </c>
      <c r="J244" s="5" t="s">
        <v>47</v>
      </c>
      <c r="K244" s="5" t="s">
        <v>47</v>
      </c>
      <c r="L244" s="31" t="s">
        <v>47</v>
      </c>
    </row>
    <row r="245" spans="1:12" ht="47" thickBot="1" x14ac:dyDescent="0.35">
      <c r="A245" s="303"/>
      <c r="B245" s="205"/>
      <c r="C245" s="205"/>
      <c r="D245" s="197"/>
      <c r="E245" s="317">
        <v>0</v>
      </c>
      <c r="F245" s="317">
        <v>0</v>
      </c>
      <c r="G245" s="317">
        <v>0</v>
      </c>
      <c r="H245" s="87" t="s">
        <v>609</v>
      </c>
      <c r="I245" s="86" t="s">
        <v>31</v>
      </c>
      <c r="J245" s="86" t="s">
        <v>47</v>
      </c>
      <c r="K245" s="86" t="s">
        <v>47</v>
      </c>
      <c r="L245" s="85" t="s">
        <v>47</v>
      </c>
    </row>
    <row r="246" spans="1:12" ht="47" thickBot="1" x14ac:dyDescent="0.35">
      <c r="A246" s="137" t="s">
        <v>610</v>
      </c>
      <c r="B246" s="138" t="s">
        <v>611</v>
      </c>
      <c r="C246" s="138" t="s">
        <v>377</v>
      </c>
      <c r="D246" s="138" t="s">
        <v>26</v>
      </c>
      <c r="E246" s="160">
        <f t="shared" ref="E246:G246" si="17">SUM(E247:E247)+70000</f>
        <v>70000</v>
      </c>
      <c r="F246" s="160">
        <f t="shared" si="17"/>
        <v>70000</v>
      </c>
      <c r="G246" s="160">
        <f t="shared" si="17"/>
        <v>70000</v>
      </c>
      <c r="H246" s="113" t="s">
        <v>612</v>
      </c>
      <c r="I246" s="114" t="s">
        <v>31</v>
      </c>
      <c r="J246" s="114" t="s">
        <v>274</v>
      </c>
      <c r="K246" s="114" t="s">
        <v>274</v>
      </c>
      <c r="L246" s="116" t="s">
        <v>274</v>
      </c>
    </row>
    <row r="247" spans="1:12" ht="83.25" customHeight="1" thickBot="1" x14ac:dyDescent="0.35">
      <c r="A247" s="132"/>
      <c r="B247" s="134"/>
      <c r="C247" s="134"/>
      <c r="D247" s="134"/>
      <c r="E247" s="152"/>
      <c r="F247" s="152"/>
      <c r="G247" s="152"/>
      <c r="H247" s="93" t="s">
        <v>613</v>
      </c>
      <c r="I247" s="92" t="s">
        <v>28</v>
      </c>
      <c r="J247" s="92" t="s">
        <v>29</v>
      </c>
      <c r="K247" s="92" t="s">
        <v>29</v>
      </c>
      <c r="L247" s="91" t="s">
        <v>29</v>
      </c>
    </row>
    <row r="248" spans="1:12" ht="62" x14ac:dyDescent="0.3">
      <c r="A248" s="302" t="s">
        <v>614</v>
      </c>
      <c r="B248" s="229" t="s">
        <v>615</v>
      </c>
      <c r="C248" s="229" t="s">
        <v>377</v>
      </c>
      <c r="D248" s="243" t="s">
        <v>26</v>
      </c>
      <c r="E248" s="255">
        <f>SUM(E249:E251)+37000</f>
        <v>37000</v>
      </c>
      <c r="F248" s="255">
        <f>SUM(F249:F251)+37000</f>
        <v>37000</v>
      </c>
      <c r="G248" s="255">
        <f>SUM(G249:G251)+37000</f>
        <v>37000</v>
      </c>
      <c r="H248" s="3" t="s">
        <v>616</v>
      </c>
      <c r="I248" s="5" t="s">
        <v>28</v>
      </c>
      <c r="J248" s="5" t="s">
        <v>617</v>
      </c>
      <c r="K248" s="5" t="s">
        <v>618</v>
      </c>
      <c r="L248" s="31" t="s">
        <v>618</v>
      </c>
    </row>
    <row r="249" spans="1:12" ht="31" x14ac:dyDescent="0.3">
      <c r="A249" s="303"/>
      <c r="B249" s="205"/>
      <c r="C249" s="205"/>
      <c r="D249" s="197"/>
      <c r="E249" s="317">
        <v>0</v>
      </c>
      <c r="F249" s="317">
        <v>0</v>
      </c>
      <c r="G249" s="317">
        <v>0</v>
      </c>
      <c r="H249" s="4" t="s">
        <v>619</v>
      </c>
      <c r="I249" s="6" t="s">
        <v>31</v>
      </c>
      <c r="J249" s="6" t="s">
        <v>408</v>
      </c>
      <c r="K249" s="6" t="s">
        <v>262</v>
      </c>
      <c r="L249" s="32" t="s">
        <v>262</v>
      </c>
    </row>
    <row r="250" spans="1:12" ht="31" x14ac:dyDescent="0.3">
      <c r="A250" s="303"/>
      <c r="B250" s="205"/>
      <c r="C250" s="205"/>
      <c r="D250" s="197"/>
      <c r="E250" s="317">
        <v>0</v>
      </c>
      <c r="F250" s="317">
        <v>0</v>
      </c>
      <c r="G250" s="317">
        <v>0</v>
      </c>
      <c r="H250" s="4" t="s">
        <v>620</v>
      </c>
      <c r="I250" s="6" t="s">
        <v>31</v>
      </c>
      <c r="J250" s="6" t="s">
        <v>262</v>
      </c>
      <c r="K250" s="6" t="s">
        <v>621</v>
      </c>
      <c r="L250" s="32" t="s">
        <v>621</v>
      </c>
    </row>
    <row r="251" spans="1:12" ht="102" customHeight="1" thickBot="1" x14ac:dyDescent="0.35">
      <c r="A251" s="313"/>
      <c r="B251" s="206"/>
      <c r="C251" s="206"/>
      <c r="D251" s="198"/>
      <c r="E251" s="256">
        <v>0</v>
      </c>
      <c r="F251" s="256">
        <v>0</v>
      </c>
      <c r="G251" s="256">
        <v>0</v>
      </c>
      <c r="H251" s="4" t="s">
        <v>622</v>
      </c>
      <c r="I251" s="6" t="s">
        <v>31</v>
      </c>
      <c r="J251" s="6" t="s">
        <v>623</v>
      </c>
      <c r="K251" s="6" t="s">
        <v>623</v>
      </c>
      <c r="L251" s="32" t="s">
        <v>623</v>
      </c>
    </row>
    <row r="252" spans="1:12" ht="46.5" x14ac:dyDescent="0.3">
      <c r="A252" s="302" t="s">
        <v>624</v>
      </c>
      <c r="B252" s="229" t="s">
        <v>625</v>
      </c>
      <c r="C252" s="229" t="s">
        <v>223</v>
      </c>
      <c r="D252" s="243" t="s">
        <v>26</v>
      </c>
      <c r="E252" s="255">
        <f t="shared" ref="E252:G252" si="18">SUM(E253:E253)+80000</f>
        <v>80000</v>
      </c>
      <c r="F252" s="255">
        <f t="shared" si="18"/>
        <v>80000</v>
      </c>
      <c r="G252" s="255">
        <f t="shared" si="18"/>
        <v>80000</v>
      </c>
      <c r="H252" s="3" t="s">
        <v>626</v>
      </c>
      <c r="I252" s="5" t="s">
        <v>28</v>
      </c>
      <c r="J252" s="5" t="s">
        <v>29</v>
      </c>
      <c r="K252" s="5" t="s">
        <v>29</v>
      </c>
      <c r="L252" s="31" t="s">
        <v>29</v>
      </c>
    </row>
    <row r="253" spans="1:12" ht="16" thickBot="1" x14ac:dyDescent="0.35">
      <c r="A253" s="313"/>
      <c r="B253" s="206"/>
      <c r="C253" s="206"/>
      <c r="D253" s="198"/>
      <c r="E253" s="256">
        <v>0</v>
      </c>
      <c r="F253" s="256">
        <v>0</v>
      </c>
      <c r="G253" s="256">
        <v>0</v>
      </c>
      <c r="H253" s="4" t="s">
        <v>627</v>
      </c>
      <c r="I253" s="6" t="s">
        <v>31</v>
      </c>
      <c r="J253" s="6" t="s">
        <v>628</v>
      </c>
      <c r="K253" s="6" t="s">
        <v>628</v>
      </c>
      <c r="L253" s="32" t="s">
        <v>628</v>
      </c>
    </row>
    <row r="254" spans="1:12" ht="102.75" customHeight="1" thickBot="1" x14ac:dyDescent="0.35">
      <c r="A254" s="22" t="s">
        <v>629</v>
      </c>
      <c r="B254" s="3" t="s">
        <v>630</v>
      </c>
      <c r="C254" s="27" t="s">
        <v>377</v>
      </c>
      <c r="D254" s="5"/>
      <c r="E254" s="44"/>
      <c r="F254" s="44"/>
      <c r="G254" s="44"/>
      <c r="H254" s="3" t="s">
        <v>631</v>
      </c>
      <c r="I254" s="5" t="s">
        <v>632</v>
      </c>
      <c r="J254" s="5" t="s">
        <v>129</v>
      </c>
      <c r="K254" s="5" t="s">
        <v>129</v>
      </c>
      <c r="L254" s="31" t="s">
        <v>129</v>
      </c>
    </row>
    <row r="255" spans="1:12" ht="47.25" customHeight="1" thickBot="1" x14ac:dyDescent="0.35">
      <c r="A255" s="22" t="s">
        <v>633</v>
      </c>
      <c r="B255" s="3" t="s">
        <v>634</v>
      </c>
      <c r="C255" s="3" t="s">
        <v>377</v>
      </c>
      <c r="D255" s="5"/>
      <c r="E255" s="44"/>
      <c r="F255" s="44"/>
      <c r="G255" s="44"/>
      <c r="H255" s="3" t="s">
        <v>635</v>
      </c>
      <c r="I255" s="5" t="s">
        <v>28</v>
      </c>
      <c r="J255" s="5" t="s">
        <v>29</v>
      </c>
      <c r="K255" s="5" t="s">
        <v>48</v>
      </c>
      <c r="L255" s="31" t="s">
        <v>48</v>
      </c>
    </row>
    <row r="256" spans="1:12" ht="32.25" customHeight="1" thickBot="1" x14ac:dyDescent="0.35">
      <c r="A256" s="19" t="s">
        <v>636</v>
      </c>
      <c r="B256" s="261" t="s">
        <v>637</v>
      </c>
      <c r="C256" s="262"/>
      <c r="D256" s="263"/>
      <c r="E256" s="37">
        <f>E257+E307+E319</f>
        <v>96900999.650000006</v>
      </c>
      <c r="F256" s="37">
        <f>F257+F307+F319</f>
        <v>99920089</v>
      </c>
      <c r="G256" s="37">
        <f>G257+G307+G319</f>
        <v>111163074</v>
      </c>
      <c r="H256" s="247"/>
      <c r="I256" s="248"/>
      <c r="J256" s="248"/>
      <c r="K256" s="248"/>
      <c r="L256" s="249"/>
    </row>
    <row r="257" spans="1:12" ht="32.25" customHeight="1" thickBot="1" x14ac:dyDescent="0.35">
      <c r="A257" s="20" t="s">
        <v>638</v>
      </c>
      <c r="B257" s="194" t="s">
        <v>639</v>
      </c>
      <c r="C257" s="195"/>
      <c r="D257" s="196"/>
      <c r="E257" s="38">
        <f>E258+E272+E289+E296+E297+E306</f>
        <v>56603114</v>
      </c>
      <c r="F257" s="38">
        <f>F258+F272+F289+F296+F297+F306</f>
        <v>64186815</v>
      </c>
      <c r="G257" s="38">
        <f>G258+G272+G289+G296+G297+G306</f>
        <v>75009600</v>
      </c>
      <c r="H257" s="188"/>
      <c r="I257" s="189"/>
      <c r="J257" s="189"/>
      <c r="K257" s="189"/>
      <c r="L257" s="190"/>
    </row>
    <row r="258" spans="1:12" ht="16" thickBot="1" x14ac:dyDescent="0.35">
      <c r="A258" s="117" t="s">
        <v>640</v>
      </c>
      <c r="B258" s="215" t="s">
        <v>641</v>
      </c>
      <c r="C258" s="216"/>
      <c r="D258" s="217"/>
      <c r="E258" s="118">
        <f t="shared" ref="E258:G258" si="19">E259+E262+E267+E270+E271</f>
        <v>9333000</v>
      </c>
      <c r="F258" s="118">
        <f t="shared" si="19"/>
        <v>10226994</v>
      </c>
      <c r="G258" s="118">
        <f t="shared" si="19"/>
        <v>11571000</v>
      </c>
      <c r="H258" s="218"/>
      <c r="I258" s="219"/>
      <c r="J258" s="219"/>
      <c r="K258" s="219"/>
      <c r="L258" s="220"/>
    </row>
    <row r="259" spans="1:12" ht="46.5" customHeight="1" x14ac:dyDescent="0.3">
      <c r="A259" s="304" t="s">
        <v>642</v>
      </c>
      <c r="B259" s="227" t="s">
        <v>643</v>
      </c>
      <c r="C259" s="227" t="s">
        <v>258</v>
      </c>
      <c r="D259" s="257" t="s">
        <v>270</v>
      </c>
      <c r="E259" s="324">
        <f>SUM(E260:E261)+23000</f>
        <v>23000</v>
      </c>
      <c r="F259" s="324">
        <f>SUM(F260:F261)+21000</f>
        <v>21000</v>
      </c>
      <c r="G259" s="324">
        <f>SUM(G260:G261)+21000</f>
        <v>21000</v>
      </c>
      <c r="H259" s="57" t="s">
        <v>644</v>
      </c>
      <c r="I259" s="9" t="s">
        <v>31</v>
      </c>
      <c r="J259" s="9" t="s">
        <v>645</v>
      </c>
      <c r="K259" s="9" t="s">
        <v>646</v>
      </c>
      <c r="L259" s="58" t="s">
        <v>647</v>
      </c>
    </row>
    <row r="260" spans="1:12" ht="47" thickBot="1" x14ac:dyDescent="0.35">
      <c r="A260" s="306"/>
      <c r="B260" s="228"/>
      <c r="C260" s="228"/>
      <c r="D260" s="307"/>
      <c r="E260" s="325"/>
      <c r="F260" s="325"/>
      <c r="G260" s="325"/>
      <c r="H260" s="59" t="s">
        <v>648</v>
      </c>
      <c r="I260" s="10" t="s">
        <v>31</v>
      </c>
      <c r="J260" s="10" t="s">
        <v>58</v>
      </c>
      <c r="K260" s="10" t="s">
        <v>32</v>
      </c>
      <c r="L260" s="60" t="s">
        <v>32</v>
      </c>
    </row>
    <row r="261" spans="1:12" ht="93.5" thickBot="1" x14ac:dyDescent="0.35">
      <c r="A261" s="140"/>
      <c r="B261" s="141"/>
      <c r="C261" s="141"/>
      <c r="D261" s="141"/>
      <c r="E261" s="159"/>
      <c r="F261" s="159"/>
      <c r="G261" s="159"/>
      <c r="H261" s="145" t="s">
        <v>649</v>
      </c>
      <c r="I261" s="143" t="s">
        <v>28</v>
      </c>
      <c r="J261" s="143" t="s">
        <v>384</v>
      </c>
      <c r="K261" s="143" t="s">
        <v>38</v>
      </c>
      <c r="L261" s="151" t="s">
        <v>39</v>
      </c>
    </row>
    <row r="262" spans="1:12" ht="15.75" customHeight="1" x14ac:dyDescent="0.3">
      <c r="A262" s="303" t="s">
        <v>650</v>
      </c>
      <c r="B262" s="205" t="s">
        <v>651</v>
      </c>
      <c r="C262" s="205" t="s">
        <v>223</v>
      </c>
      <c r="D262" s="197" t="s">
        <v>268</v>
      </c>
      <c r="E262" s="209">
        <f t="shared" ref="E262:G262" si="20">SUM(E263:E266)</f>
        <v>5250000</v>
      </c>
      <c r="F262" s="209">
        <f t="shared" si="20"/>
        <v>5665675</v>
      </c>
      <c r="G262" s="209">
        <f t="shared" si="20"/>
        <v>6600000</v>
      </c>
      <c r="H262" s="93" t="s">
        <v>652</v>
      </c>
      <c r="I262" s="92" t="s">
        <v>653</v>
      </c>
      <c r="J262" s="92" t="s">
        <v>654</v>
      </c>
      <c r="K262" s="92" t="s">
        <v>654</v>
      </c>
      <c r="L262" s="91" t="s">
        <v>654</v>
      </c>
    </row>
    <row r="263" spans="1:12" ht="15.5" x14ac:dyDescent="0.3">
      <c r="A263" s="303"/>
      <c r="B263" s="205"/>
      <c r="C263" s="205"/>
      <c r="D263" s="208"/>
      <c r="E263" s="210"/>
      <c r="F263" s="210"/>
      <c r="G263" s="210"/>
      <c r="H263" s="4" t="s">
        <v>655</v>
      </c>
      <c r="I263" s="6" t="s">
        <v>656</v>
      </c>
      <c r="J263" s="6" t="s">
        <v>657</v>
      </c>
      <c r="K263" s="6" t="s">
        <v>657</v>
      </c>
      <c r="L263" s="32" t="s">
        <v>657</v>
      </c>
    </row>
    <row r="264" spans="1:12" ht="31" x14ac:dyDescent="0.3">
      <c r="A264" s="303"/>
      <c r="B264" s="205"/>
      <c r="C264" s="205"/>
      <c r="D264" s="6" t="s">
        <v>658</v>
      </c>
      <c r="E264" s="40">
        <v>1000000</v>
      </c>
      <c r="F264" s="40">
        <v>1000000</v>
      </c>
      <c r="G264" s="40">
        <v>1000000</v>
      </c>
      <c r="H264" s="4" t="s">
        <v>659</v>
      </c>
      <c r="I264" s="6" t="s">
        <v>653</v>
      </c>
      <c r="J264" s="6" t="s">
        <v>660</v>
      </c>
      <c r="K264" s="6" t="s">
        <v>660</v>
      </c>
      <c r="L264" s="32" t="s">
        <v>660</v>
      </c>
    </row>
    <row r="265" spans="1:12" ht="31" x14ac:dyDescent="0.3">
      <c r="A265" s="303"/>
      <c r="B265" s="205"/>
      <c r="C265" s="205"/>
      <c r="D265" s="207" t="s">
        <v>26</v>
      </c>
      <c r="E265" s="211">
        <v>4250000</v>
      </c>
      <c r="F265" s="211">
        <v>4665675</v>
      </c>
      <c r="G265" s="211">
        <v>5600000</v>
      </c>
      <c r="H265" s="4" t="s">
        <v>661</v>
      </c>
      <c r="I265" s="6" t="s">
        <v>653</v>
      </c>
      <c r="J265" s="6" t="s">
        <v>662</v>
      </c>
      <c r="K265" s="6" t="s">
        <v>662</v>
      </c>
      <c r="L265" s="32" t="s">
        <v>662</v>
      </c>
    </row>
    <row r="266" spans="1:12" ht="35.25" customHeight="1" thickBot="1" x14ac:dyDescent="0.35">
      <c r="A266" s="313"/>
      <c r="B266" s="206"/>
      <c r="C266" s="206"/>
      <c r="D266" s="198"/>
      <c r="E266" s="256"/>
      <c r="F266" s="256"/>
      <c r="G266" s="256"/>
      <c r="H266" s="4" t="s">
        <v>663</v>
      </c>
      <c r="I266" s="6" t="s">
        <v>656</v>
      </c>
      <c r="J266" s="6" t="s">
        <v>587</v>
      </c>
      <c r="K266" s="6" t="s">
        <v>587</v>
      </c>
      <c r="L266" s="32" t="s">
        <v>587</v>
      </c>
    </row>
    <row r="267" spans="1:12" ht="37" customHeight="1" x14ac:dyDescent="0.3">
      <c r="A267" s="302" t="s">
        <v>664</v>
      </c>
      <c r="B267" s="229" t="s">
        <v>665</v>
      </c>
      <c r="C267" s="229" t="s">
        <v>223</v>
      </c>
      <c r="D267" s="5" t="s">
        <v>268</v>
      </c>
      <c r="E267" s="44">
        <f t="shared" ref="E267:G267" si="21">SUM(E268:E269)</f>
        <v>2760000</v>
      </c>
      <c r="F267" s="44">
        <f t="shared" si="21"/>
        <v>3540319</v>
      </c>
      <c r="G267" s="44">
        <f t="shared" si="21"/>
        <v>3950000</v>
      </c>
      <c r="H267" s="3" t="s">
        <v>666</v>
      </c>
      <c r="I267" s="5" t="s">
        <v>28</v>
      </c>
      <c r="J267" s="5" t="s">
        <v>133</v>
      </c>
      <c r="K267" s="5" t="s">
        <v>667</v>
      </c>
      <c r="L267" s="31" t="s">
        <v>147</v>
      </c>
    </row>
    <row r="268" spans="1:12" ht="15.5" x14ac:dyDescent="0.3">
      <c r="A268" s="303"/>
      <c r="B268" s="205"/>
      <c r="C268" s="205"/>
      <c r="D268" s="6" t="s">
        <v>658</v>
      </c>
      <c r="E268" s="40">
        <v>1000000</v>
      </c>
      <c r="F268" s="40">
        <v>1000000</v>
      </c>
      <c r="G268" s="40">
        <v>1000000</v>
      </c>
      <c r="H268" s="246" t="s">
        <v>668</v>
      </c>
      <c r="I268" s="207" t="s">
        <v>31</v>
      </c>
      <c r="J268" s="207" t="s">
        <v>60</v>
      </c>
      <c r="K268" s="207" t="s">
        <v>255</v>
      </c>
      <c r="L268" s="250" t="s">
        <v>60</v>
      </c>
    </row>
    <row r="269" spans="1:12" ht="16" thickBot="1" x14ac:dyDescent="0.35">
      <c r="A269" s="303"/>
      <c r="B269" s="205"/>
      <c r="C269" s="205"/>
      <c r="D269" s="86" t="s">
        <v>26</v>
      </c>
      <c r="E269" s="88">
        <v>1760000</v>
      </c>
      <c r="F269" s="88">
        <v>2540319</v>
      </c>
      <c r="G269" s="88">
        <v>2950000</v>
      </c>
      <c r="H269" s="205"/>
      <c r="I269" s="197"/>
      <c r="J269" s="197"/>
      <c r="K269" s="197"/>
      <c r="L269" s="270"/>
    </row>
    <row r="270" spans="1:12" ht="116.25" customHeight="1" thickBot="1" x14ac:dyDescent="0.35">
      <c r="A270" s="112" t="s">
        <v>669</v>
      </c>
      <c r="B270" s="113" t="s">
        <v>670</v>
      </c>
      <c r="C270" s="113" t="s">
        <v>72</v>
      </c>
      <c r="D270" s="114"/>
      <c r="E270" s="115"/>
      <c r="F270" s="115"/>
      <c r="G270" s="115"/>
      <c r="H270" s="113" t="s">
        <v>301</v>
      </c>
      <c r="I270" s="114" t="s">
        <v>28</v>
      </c>
      <c r="J270" s="114" t="s">
        <v>32</v>
      </c>
      <c r="K270" s="114" t="s">
        <v>48</v>
      </c>
      <c r="L270" s="116" t="s">
        <v>48</v>
      </c>
    </row>
    <row r="271" spans="1:12" ht="47" thickBot="1" x14ac:dyDescent="0.35">
      <c r="A271" s="66" t="s">
        <v>671</v>
      </c>
      <c r="B271" s="93" t="s">
        <v>672</v>
      </c>
      <c r="C271" s="93" t="s">
        <v>223</v>
      </c>
      <c r="D271" s="92" t="s">
        <v>270</v>
      </c>
      <c r="E271" s="95">
        <v>1300000</v>
      </c>
      <c r="F271" s="95">
        <v>1000000</v>
      </c>
      <c r="G271" s="95">
        <v>1000000</v>
      </c>
      <c r="H271" s="93" t="s">
        <v>673</v>
      </c>
      <c r="I271" s="92" t="s">
        <v>653</v>
      </c>
      <c r="J271" s="92" t="s">
        <v>674</v>
      </c>
      <c r="K271" s="92" t="s">
        <v>675</v>
      </c>
      <c r="L271" s="91" t="s">
        <v>675</v>
      </c>
    </row>
    <row r="272" spans="1:12" ht="32.25" customHeight="1" thickBot="1" x14ac:dyDescent="0.35">
      <c r="A272" s="21" t="s">
        <v>676</v>
      </c>
      <c r="B272" s="185" t="s">
        <v>677</v>
      </c>
      <c r="C272" s="186"/>
      <c r="D272" s="187"/>
      <c r="E272" s="39">
        <f>E273+E277+E278+E281+E284+E287</f>
        <v>43113114</v>
      </c>
      <c r="F272" s="39">
        <f>F273+F277+F278+F281+F284+F287</f>
        <v>40907821</v>
      </c>
      <c r="G272" s="39">
        <f>G273+G277+G278+G281+G284+G287</f>
        <v>42201600</v>
      </c>
      <c r="H272" s="191"/>
      <c r="I272" s="192"/>
      <c r="J272" s="192"/>
      <c r="K272" s="192"/>
      <c r="L272" s="193"/>
    </row>
    <row r="273" spans="1:14" ht="36.75" customHeight="1" x14ac:dyDescent="0.3">
      <c r="A273" s="302" t="s">
        <v>678</v>
      </c>
      <c r="B273" s="229" t="s">
        <v>679</v>
      </c>
      <c r="C273" s="229" t="s">
        <v>300</v>
      </c>
      <c r="D273" s="5" t="s">
        <v>268</v>
      </c>
      <c r="E273" s="44">
        <f t="shared" ref="E273:F273" si="22">SUM(E274:E276)</f>
        <v>12300000</v>
      </c>
      <c r="F273" s="44">
        <f t="shared" si="22"/>
        <v>10127367</v>
      </c>
      <c r="G273" s="44"/>
      <c r="H273" s="3" t="s">
        <v>680</v>
      </c>
      <c r="I273" s="5" t="s">
        <v>28</v>
      </c>
      <c r="J273" s="180" t="s">
        <v>129</v>
      </c>
      <c r="K273" s="180" t="s">
        <v>220</v>
      </c>
      <c r="L273" s="70" t="s">
        <v>48</v>
      </c>
      <c r="M273" s="354"/>
      <c r="N273" s="353"/>
    </row>
    <row r="274" spans="1:14" ht="31" x14ac:dyDescent="0.3">
      <c r="A274" s="303"/>
      <c r="B274" s="205"/>
      <c r="C274" s="205"/>
      <c r="D274" s="6" t="s">
        <v>26</v>
      </c>
      <c r="E274" s="40">
        <v>6100000</v>
      </c>
      <c r="F274" s="40">
        <v>7627367</v>
      </c>
      <c r="G274" s="40"/>
      <c r="H274" s="4" t="s">
        <v>681</v>
      </c>
      <c r="I274" s="6" t="s">
        <v>28</v>
      </c>
      <c r="J274" s="179" t="s">
        <v>682</v>
      </c>
      <c r="K274" s="179" t="s">
        <v>147</v>
      </c>
      <c r="L274" s="71" t="s">
        <v>48</v>
      </c>
    </row>
    <row r="275" spans="1:14" ht="18.75" customHeight="1" x14ac:dyDescent="0.3">
      <c r="A275" s="303"/>
      <c r="B275" s="205"/>
      <c r="C275" s="205"/>
      <c r="D275" s="6" t="s">
        <v>683</v>
      </c>
      <c r="E275" s="40">
        <v>2000000</v>
      </c>
      <c r="F275" s="40"/>
      <c r="G275" s="40"/>
      <c r="H275" s="246" t="s">
        <v>684</v>
      </c>
      <c r="I275" s="207" t="s">
        <v>28</v>
      </c>
      <c r="J275" s="268" t="s">
        <v>34</v>
      </c>
      <c r="K275" s="266">
        <v>50</v>
      </c>
      <c r="L275" s="264" t="s">
        <v>48</v>
      </c>
    </row>
    <row r="276" spans="1:14" ht="16" thickBot="1" x14ac:dyDescent="0.35">
      <c r="A276" s="313"/>
      <c r="B276" s="206"/>
      <c r="C276" s="206"/>
      <c r="D276" s="6" t="s">
        <v>658</v>
      </c>
      <c r="E276" s="40">
        <v>4200000</v>
      </c>
      <c r="F276" s="40">
        <v>2500000</v>
      </c>
      <c r="G276" s="40"/>
      <c r="H276" s="206"/>
      <c r="I276" s="198"/>
      <c r="J276" s="269"/>
      <c r="K276" s="267"/>
      <c r="L276" s="265"/>
    </row>
    <row r="277" spans="1:14" ht="47" thickBot="1" x14ac:dyDescent="0.35">
      <c r="A277" s="110" t="s">
        <v>685</v>
      </c>
      <c r="B277" s="96" t="s">
        <v>686</v>
      </c>
      <c r="C277" s="96" t="s">
        <v>72</v>
      </c>
      <c r="D277" s="101"/>
      <c r="E277" s="99"/>
      <c r="F277" s="99"/>
      <c r="G277" s="99"/>
      <c r="H277" s="96" t="s">
        <v>301</v>
      </c>
      <c r="I277" s="101" t="s">
        <v>28</v>
      </c>
      <c r="J277" s="101" t="s">
        <v>32</v>
      </c>
      <c r="K277" s="101" t="s">
        <v>48</v>
      </c>
      <c r="L277" s="105" t="s">
        <v>48</v>
      </c>
    </row>
    <row r="278" spans="1:14" ht="46.5" x14ac:dyDescent="0.3">
      <c r="A278" s="304" t="s">
        <v>687</v>
      </c>
      <c r="B278" s="227" t="s">
        <v>688</v>
      </c>
      <c r="C278" s="227" t="s">
        <v>223</v>
      </c>
      <c r="D278" s="9" t="s">
        <v>268</v>
      </c>
      <c r="E278" s="45">
        <f t="shared" ref="E278:G278" si="23">SUM(E279:E280)</f>
        <v>24073114</v>
      </c>
      <c r="F278" s="45">
        <f t="shared" si="23"/>
        <v>18780454</v>
      </c>
      <c r="G278" s="45">
        <f t="shared" si="23"/>
        <v>22201600</v>
      </c>
      <c r="H278" s="57" t="s">
        <v>689</v>
      </c>
      <c r="I278" s="9" t="s">
        <v>653</v>
      </c>
      <c r="J278" s="9" t="s">
        <v>690</v>
      </c>
      <c r="K278" s="9" t="s">
        <v>691</v>
      </c>
      <c r="L278" s="58" t="s">
        <v>692</v>
      </c>
    </row>
    <row r="279" spans="1:14" ht="15.5" x14ac:dyDescent="0.3">
      <c r="A279" s="305"/>
      <c r="B279" s="205"/>
      <c r="C279" s="205"/>
      <c r="D279" s="6" t="s">
        <v>658</v>
      </c>
      <c r="E279" s="40">
        <v>9309600</v>
      </c>
      <c r="F279" s="40">
        <v>10400000</v>
      </c>
      <c r="G279" s="40">
        <v>8892000</v>
      </c>
      <c r="H279" s="4" t="s">
        <v>693</v>
      </c>
      <c r="I279" s="6" t="s">
        <v>653</v>
      </c>
      <c r="J279" s="6" t="s">
        <v>694</v>
      </c>
      <c r="K279" s="6" t="s">
        <v>695</v>
      </c>
      <c r="L279" s="67" t="s">
        <v>696</v>
      </c>
    </row>
    <row r="280" spans="1:14" ht="16" thickBot="1" x14ac:dyDescent="0.35">
      <c r="A280" s="306"/>
      <c r="B280" s="228"/>
      <c r="C280" s="228"/>
      <c r="D280" s="10" t="s">
        <v>26</v>
      </c>
      <c r="E280" s="46">
        <v>14763514</v>
      </c>
      <c r="F280" s="46">
        <v>8380454</v>
      </c>
      <c r="G280" s="46">
        <v>13309600</v>
      </c>
      <c r="H280" s="59" t="s">
        <v>697</v>
      </c>
      <c r="I280" s="10" t="s">
        <v>656</v>
      </c>
      <c r="J280" s="10" t="s">
        <v>698</v>
      </c>
      <c r="K280" s="10" t="s">
        <v>699</v>
      </c>
      <c r="L280" s="60" t="s">
        <v>53</v>
      </c>
    </row>
    <row r="281" spans="1:14" ht="18.649999999999999" customHeight="1" x14ac:dyDescent="0.3">
      <c r="A281" s="303" t="s">
        <v>700</v>
      </c>
      <c r="B281" s="205" t="s">
        <v>701</v>
      </c>
      <c r="C281" s="205" t="s">
        <v>300</v>
      </c>
      <c r="D281" s="98" t="s">
        <v>268</v>
      </c>
      <c r="E281" s="100">
        <f t="shared" ref="E281:G281" si="24">SUM(E282:E283)</f>
        <v>4570000</v>
      </c>
      <c r="F281" s="100">
        <f t="shared" si="24"/>
        <v>8000000</v>
      </c>
      <c r="G281" s="100">
        <f t="shared" si="24"/>
        <v>16000000</v>
      </c>
      <c r="H281" s="205" t="s">
        <v>301</v>
      </c>
      <c r="I281" s="197" t="s">
        <v>28</v>
      </c>
      <c r="J281" s="331" t="s">
        <v>89</v>
      </c>
      <c r="K281" s="331" t="s">
        <v>133</v>
      </c>
      <c r="L281" s="329" t="s">
        <v>133</v>
      </c>
      <c r="M281" s="354"/>
      <c r="N281" s="353"/>
    </row>
    <row r="282" spans="1:14" ht="15.5" x14ac:dyDescent="0.3">
      <c r="A282" s="303"/>
      <c r="B282" s="205"/>
      <c r="C282" s="205"/>
      <c r="D282" s="6" t="s">
        <v>26</v>
      </c>
      <c r="E282" s="40">
        <v>4570000</v>
      </c>
      <c r="F282" s="40">
        <v>5000000</v>
      </c>
      <c r="G282" s="40">
        <v>13000000</v>
      </c>
      <c r="H282" s="205"/>
      <c r="I282" s="197"/>
      <c r="J282" s="331"/>
      <c r="K282" s="331"/>
      <c r="L282" s="329"/>
    </row>
    <row r="283" spans="1:14" ht="15.5" x14ac:dyDescent="0.3">
      <c r="A283" s="313"/>
      <c r="B283" s="206"/>
      <c r="C283" s="206"/>
      <c r="D283" s="6" t="s">
        <v>658</v>
      </c>
      <c r="E283" s="40"/>
      <c r="F283" s="40">
        <v>3000000</v>
      </c>
      <c r="G283" s="40">
        <v>3000000</v>
      </c>
      <c r="H283" s="206"/>
      <c r="I283" s="198"/>
      <c r="J283" s="332"/>
      <c r="K283" s="332"/>
      <c r="L283" s="330"/>
    </row>
    <row r="284" spans="1:14" ht="21" customHeight="1" x14ac:dyDescent="0.3">
      <c r="A284" s="302" t="s">
        <v>702</v>
      </c>
      <c r="B284" s="229" t="s">
        <v>703</v>
      </c>
      <c r="C284" s="229" t="s">
        <v>223</v>
      </c>
      <c r="D284" s="5" t="s">
        <v>268</v>
      </c>
      <c r="E284" s="44">
        <f t="shared" ref="E284:G284" si="25">SUM(E285:E286)</f>
        <v>2000000</v>
      </c>
      <c r="F284" s="44">
        <f t="shared" si="25"/>
        <v>3000000</v>
      </c>
      <c r="G284" s="44">
        <f t="shared" si="25"/>
        <v>2000000</v>
      </c>
      <c r="H284" s="3" t="s">
        <v>704</v>
      </c>
      <c r="I284" s="5" t="s">
        <v>653</v>
      </c>
      <c r="J284" s="68" t="s">
        <v>675</v>
      </c>
      <c r="K284" s="68" t="s">
        <v>705</v>
      </c>
      <c r="L284" s="70" t="s">
        <v>706</v>
      </c>
      <c r="M284" s="355"/>
    </row>
    <row r="285" spans="1:14" ht="22" customHeight="1" x14ac:dyDescent="0.3">
      <c r="A285" s="303"/>
      <c r="B285" s="205"/>
      <c r="C285" s="205"/>
      <c r="D285" s="6" t="s">
        <v>26</v>
      </c>
      <c r="E285" s="40">
        <v>1000000</v>
      </c>
      <c r="F285" s="40">
        <v>2000000</v>
      </c>
      <c r="G285" s="40">
        <v>2000000</v>
      </c>
      <c r="H285" s="246" t="s">
        <v>301</v>
      </c>
      <c r="I285" s="207" t="s">
        <v>28</v>
      </c>
      <c r="J285" s="333" t="s">
        <v>140</v>
      </c>
      <c r="K285" s="333" t="s">
        <v>129</v>
      </c>
      <c r="L285" s="264" t="s">
        <v>140</v>
      </c>
      <c r="M285" s="355"/>
    </row>
    <row r="286" spans="1:14" ht="24" customHeight="1" x14ac:dyDescent="0.3">
      <c r="A286" s="313"/>
      <c r="B286" s="206"/>
      <c r="C286" s="206"/>
      <c r="D286" s="6" t="s">
        <v>658</v>
      </c>
      <c r="E286" s="40">
        <v>1000000</v>
      </c>
      <c r="F286" s="40">
        <v>1000000</v>
      </c>
      <c r="G286" s="40"/>
      <c r="H286" s="206"/>
      <c r="I286" s="198"/>
      <c r="J286" s="334"/>
      <c r="K286" s="334"/>
      <c r="L286" s="265"/>
      <c r="M286" s="355"/>
    </row>
    <row r="287" spans="1:14" ht="15.5" x14ac:dyDescent="0.3">
      <c r="A287" s="302" t="s">
        <v>707</v>
      </c>
      <c r="B287" s="229" t="s">
        <v>708</v>
      </c>
      <c r="C287" s="229" t="s">
        <v>223</v>
      </c>
      <c r="D287" s="243" t="s">
        <v>26</v>
      </c>
      <c r="E287" s="255">
        <f>SUM(E288:E288)+170000</f>
        <v>170000</v>
      </c>
      <c r="F287" s="255">
        <f>SUM(F288:F288)+1000000</f>
        <v>1000000</v>
      </c>
      <c r="G287" s="255">
        <f>SUM(G288:G288)+2000000</f>
        <v>2000000</v>
      </c>
      <c r="H287" s="3" t="s">
        <v>709</v>
      </c>
      <c r="I287" s="5" t="s">
        <v>653</v>
      </c>
      <c r="J287" s="68" t="s">
        <v>48</v>
      </c>
      <c r="K287" s="5" t="s">
        <v>710</v>
      </c>
      <c r="L287" s="31" t="s">
        <v>711</v>
      </c>
      <c r="M287" s="69"/>
    </row>
    <row r="288" spans="1:14" ht="31.5" thickBot="1" x14ac:dyDescent="0.35">
      <c r="A288" s="313"/>
      <c r="B288" s="206"/>
      <c r="C288" s="206"/>
      <c r="D288" s="198"/>
      <c r="E288" s="256">
        <v>0</v>
      </c>
      <c r="F288" s="256">
        <v>0</v>
      </c>
      <c r="G288" s="256">
        <v>0</v>
      </c>
      <c r="H288" s="4" t="s">
        <v>301</v>
      </c>
      <c r="I288" s="6" t="s">
        <v>28</v>
      </c>
      <c r="J288" s="6" t="s">
        <v>133</v>
      </c>
      <c r="K288" s="6" t="s">
        <v>712</v>
      </c>
      <c r="L288" s="32" t="s">
        <v>713</v>
      </c>
    </row>
    <row r="289" spans="1:12" ht="32.25" customHeight="1" thickBot="1" x14ac:dyDescent="0.35">
      <c r="A289" s="21" t="s">
        <v>714</v>
      </c>
      <c r="B289" s="185" t="s">
        <v>715</v>
      </c>
      <c r="C289" s="186"/>
      <c r="D289" s="187"/>
      <c r="E289" s="39">
        <f t="shared" ref="E289:G289" si="26">SUM(E290:E294)</f>
        <v>1457000</v>
      </c>
      <c r="F289" s="39">
        <f t="shared" si="26"/>
        <v>1342000</v>
      </c>
      <c r="G289" s="39">
        <f t="shared" si="26"/>
        <v>1032000</v>
      </c>
      <c r="H289" s="191"/>
      <c r="I289" s="192"/>
      <c r="J289" s="192"/>
      <c r="K289" s="192"/>
      <c r="L289" s="193"/>
    </row>
    <row r="290" spans="1:12" ht="62" x14ac:dyDescent="0.3">
      <c r="A290" s="22" t="s">
        <v>716</v>
      </c>
      <c r="B290" s="3" t="s">
        <v>717</v>
      </c>
      <c r="C290" s="3" t="s">
        <v>718</v>
      </c>
      <c r="D290" s="5" t="s">
        <v>26</v>
      </c>
      <c r="E290" s="42">
        <v>30000</v>
      </c>
      <c r="F290" s="42">
        <v>30000</v>
      </c>
      <c r="G290" s="42">
        <v>20000</v>
      </c>
      <c r="H290" s="3" t="s">
        <v>719</v>
      </c>
      <c r="I290" s="5" t="s">
        <v>31</v>
      </c>
      <c r="J290" s="5" t="s">
        <v>255</v>
      </c>
      <c r="K290" s="5" t="s">
        <v>150</v>
      </c>
      <c r="L290" s="31" t="s">
        <v>32</v>
      </c>
    </row>
    <row r="291" spans="1:12" ht="77.5" x14ac:dyDescent="0.3">
      <c r="A291" s="22" t="s">
        <v>720</v>
      </c>
      <c r="B291" s="3" t="s">
        <v>721</v>
      </c>
      <c r="C291" s="3" t="s">
        <v>718</v>
      </c>
      <c r="D291" s="5" t="s">
        <v>26</v>
      </c>
      <c r="E291" s="42">
        <v>500000</v>
      </c>
      <c r="F291" s="42">
        <v>500000</v>
      </c>
      <c r="G291" s="42">
        <v>500000</v>
      </c>
      <c r="H291" s="3" t="s">
        <v>722</v>
      </c>
      <c r="I291" s="5" t="s">
        <v>31</v>
      </c>
      <c r="J291" s="5" t="s">
        <v>231</v>
      </c>
      <c r="K291" s="5" t="s">
        <v>75</v>
      </c>
      <c r="L291" s="31" t="s">
        <v>75</v>
      </c>
    </row>
    <row r="292" spans="1:12" ht="62.5" thickBot="1" x14ac:dyDescent="0.35">
      <c r="A292" s="22" t="s">
        <v>723</v>
      </c>
      <c r="B292" s="3" t="s">
        <v>724</v>
      </c>
      <c r="C292" s="3" t="s">
        <v>718</v>
      </c>
      <c r="D292" s="5" t="s">
        <v>26</v>
      </c>
      <c r="E292" s="42">
        <v>457000</v>
      </c>
      <c r="F292" s="42">
        <v>342000</v>
      </c>
      <c r="G292" s="42">
        <v>42000</v>
      </c>
      <c r="H292" s="3" t="s">
        <v>725</v>
      </c>
      <c r="I292" s="5" t="s">
        <v>31</v>
      </c>
      <c r="J292" s="5" t="s">
        <v>203</v>
      </c>
      <c r="K292" s="5" t="s">
        <v>48</v>
      </c>
      <c r="L292" s="31" t="s">
        <v>48</v>
      </c>
    </row>
    <row r="293" spans="1:12" ht="62.5" thickBot="1" x14ac:dyDescent="0.35">
      <c r="A293" s="22" t="s">
        <v>726</v>
      </c>
      <c r="B293" s="3" t="s">
        <v>727</v>
      </c>
      <c r="C293" s="3" t="s">
        <v>718</v>
      </c>
      <c r="D293" s="5" t="s">
        <v>26</v>
      </c>
      <c r="E293" s="42">
        <v>20000</v>
      </c>
      <c r="F293" s="42">
        <v>20000</v>
      </c>
      <c r="G293" s="42">
        <v>20000</v>
      </c>
      <c r="H293" s="3" t="s">
        <v>728</v>
      </c>
      <c r="I293" s="5" t="s">
        <v>31</v>
      </c>
      <c r="J293" s="5" t="s">
        <v>47</v>
      </c>
      <c r="K293" s="5" t="s">
        <v>47</v>
      </c>
      <c r="L293" s="31" t="s">
        <v>47</v>
      </c>
    </row>
    <row r="294" spans="1:12" ht="53.15" customHeight="1" x14ac:dyDescent="0.3">
      <c r="A294" s="302" t="s">
        <v>729</v>
      </c>
      <c r="B294" s="229" t="s">
        <v>730</v>
      </c>
      <c r="C294" s="229" t="s">
        <v>718</v>
      </c>
      <c r="D294" s="243" t="s">
        <v>26</v>
      </c>
      <c r="E294" s="301">
        <f t="shared" ref="E294:G294" si="27">SUM(E295:E295)+450000</f>
        <v>450000</v>
      </c>
      <c r="F294" s="301">
        <f t="shared" si="27"/>
        <v>450000</v>
      </c>
      <c r="G294" s="301">
        <f t="shared" si="27"/>
        <v>450000</v>
      </c>
      <c r="H294" s="3" t="s">
        <v>731</v>
      </c>
      <c r="I294" s="5" t="s">
        <v>28</v>
      </c>
      <c r="J294" s="5" t="s">
        <v>89</v>
      </c>
      <c r="K294" s="5" t="s">
        <v>132</v>
      </c>
      <c r="L294" s="31" t="s">
        <v>357</v>
      </c>
    </row>
    <row r="295" spans="1:12" ht="27.65" customHeight="1" thickBot="1" x14ac:dyDescent="0.35">
      <c r="A295" s="313"/>
      <c r="B295" s="206"/>
      <c r="C295" s="206"/>
      <c r="D295" s="198"/>
      <c r="E295" s="312"/>
      <c r="F295" s="312"/>
      <c r="G295" s="312"/>
      <c r="H295" s="4" t="s">
        <v>732</v>
      </c>
      <c r="I295" s="6" t="s">
        <v>653</v>
      </c>
      <c r="J295" s="6" t="s">
        <v>733</v>
      </c>
      <c r="K295" s="6" t="s">
        <v>734</v>
      </c>
      <c r="L295" s="32" t="s">
        <v>735</v>
      </c>
    </row>
    <row r="296" spans="1:12" ht="32.25" customHeight="1" thickBot="1" x14ac:dyDescent="0.35">
      <c r="A296" s="21" t="s">
        <v>736</v>
      </c>
      <c r="B296" s="185" t="s">
        <v>737</v>
      </c>
      <c r="C296" s="186"/>
      <c r="D296" s="187"/>
      <c r="E296" s="43">
        <v>0</v>
      </c>
      <c r="F296" s="43">
        <v>0</v>
      </c>
      <c r="G296" s="43">
        <v>0</v>
      </c>
      <c r="H296" s="191"/>
      <c r="I296" s="192"/>
      <c r="J296" s="192"/>
      <c r="K296" s="192"/>
      <c r="L296" s="193"/>
    </row>
    <row r="297" spans="1:12" ht="32.25" customHeight="1" thickBot="1" x14ac:dyDescent="0.35">
      <c r="A297" s="117" t="s">
        <v>738</v>
      </c>
      <c r="B297" s="215" t="s">
        <v>739</v>
      </c>
      <c r="C297" s="216"/>
      <c r="D297" s="217"/>
      <c r="E297" s="118">
        <f t="shared" ref="E297:G297" si="28">E298+E300+E303</f>
        <v>2700000</v>
      </c>
      <c r="F297" s="118">
        <f t="shared" si="28"/>
        <v>11710000</v>
      </c>
      <c r="G297" s="118">
        <f t="shared" si="28"/>
        <v>20205000</v>
      </c>
      <c r="H297" s="218"/>
      <c r="I297" s="219"/>
      <c r="J297" s="219"/>
      <c r="K297" s="219"/>
      <c r="L297" s="220"/>
    </row>
    <row r="298" spans="1:12" ht="38.15" customHeight="1" x14ac:dyDescent="0.3">
      <c r="A298" s="304" t="s">
        <v>740</v>
      </c>
      <c r="B298" s="227" t="s">
        <v>741</v>
      </c>
      <c r="C298" s="227" t="s">
        <v>223</v>
      </c>
      <c r="D298" s="257" t="s">
        <v>26</v>
      </c>
      <c r="E298" s="324">
        <v>2100000</v>
      </c>
      <c r="F298" s="324">
        <v>2710000</v>
      </c>
      <c r="G298" s="324">
        <v>3770000</v>
      </c>
      <c r="H298" s="57" t="s">
        <v>742</v>
      </c>
      <c r="I298" s="9" t="s">
        <v>31</v>
      </c>
      <c r="J298" s="9" t="s">
        <v>75</v>
      </c>
      <c r="K298" s="9" t="s">
        <v>75</v>
      </c>
      <c r="L298" s="58" t="s">
        <v>75</v>
      </c>
    </row>
    <row r="299" spans="1:12" ht="57.65" customHeight="1" thickBot="1" x14ac:dyDescent="0.35">
      <c r="A299" s="306"/>
      <c r="B299" s="228"/>
      <c r="C299" s="228"/>
      <c r="D299" s="307"/>
      <c r="E299" s="325"/>
      <c r="F299" s="325"/>
      <c r="G299" s="325"/>
      <c r="H299" s="59" t="s">
        <v>743</v>
      </c>
      <c r="I299" s="10" t="s">
        <v>28</v>
      </c>
      <c r="J299" s="10" t="s">
        <v>220</v>
      </c>
      <c r="K299" s="10" t="s">
        <v>220</v>
      </c>
      <c r="L299" s="60" t="s">
        <v>60</v>
      </c>
    </row>
    <row r="300" spans="1:12" ht="28.5" customHeight="1" x14ac:dyDescent="0.3">
      <c r="A300" s="304" t="s">
        <v>744</v>
      </c>
      <c r="B300" s="227" t="s">
        <v>745</v>
      </c>
      <c r="C300" s="227" t="s">
        <v>300</v>
      </c>
      <c r="D300" s="9" t="s">
        <v>268</v>
      </c>
      <c r="E300" s="45">
        <f t="shared" ref="E300:G300" si="29">SUM(E301:E302)</f>
        <v>500000</v>
      </c>
      <c r="F300" s="45">
        <f t="shared" si="29"/>
        <v>4000000</v>
      </c>
      <c r="G300" s="45">
        <f t="shared" si="29"/>
        <v>6435000</v>
      </c>
      <c r="H300" s="227" t="s">
        <v>301</v>
      </c>
      <c r="I300" s="257" t="s">
        <v>28</v>
      </c>
      <c r="J300" s="257" t="s">
        <v>133</v>
      </c>
      <c r="K300" s="257" t="s">
        <v>712</v>
      </c>
      <c r="L300" s="258" t="s">
        <v>713</v>
      </c>
    </row>
    <row r="301" spans="1:12" ht="28.5" customHeight="1" x14ac:dyDescent="0.3">
      <c r="A301" s="305"/>
      <c r="B301" s="205"/>
      <c r="C301" s="205"/>
      <c r="D301" s="6" t="s">
        <v>26</v>
      </c>
      <c r="E301" s="40">
        <v>500000</v>
      </c>
      <c r="F301" s="40">
        <v>600000</v>
      </c>
      <c r="G301" s="40">
        <v>965250</v>
      </c>
      <c r="H301" s="205"/>
      <c r="I301" s="197"/>
      <c r="J301" s="197"/>
      <c r="K301" s="197"/>
      <c r="L301" s="259"/>
    </row>
    <row r="302" spans="1:12" ht="28.5" customHeight="1" thickBot="1" x14ac:dyDescent="0.35">
      <c r="A302" s="335"/>
      <c r="B302" s="206"/>
      <c r="C302" s="206"/>
      <c r="D302" s="6" t="s">
        <v>418</v>
      </c>
      <c r="E302" s="40"/>
      <c r="F302" s="40">
        <v>3400000</v>
      </c>
      <c r="G302" s="40">
        <v>5469750</v>
      </c>
      <c r="H302" s="206"/>
      <c r="I302" s="198"/>
      <c r="J302" s="198"/>
      <c r="K302" s="198"/>
      <c r="L302" s="260"/>
    </row>
    <row r="303" spans="1:12" ht="36.75" customHeight="1" x14ac:dyDescent="0.3">
      <c r="A303" s="336" t="s">
        <v>746</v>
      </c>
      <c r="B303" s="229" t="s">
        <v>747</v>
      </c>
      <c r="C303" s="229" t="s">
        <v>300</v>
      </c>
      <c r="D303" s="5" t="s">
        <v>268</v>
      </c>
      <c r="E303" s="44">
        <f t="shared" ref="E303:G303" si="30">SUM(E304:E305)</f>
        <v>100000</v>
      </c>
      <c r="F303" s="44">
        <f t="shared" si="30"/>
        <v>5000000</v>
      </c>
      <c r="G303" s="44">
        <f t="shared" si="30"/>
        <v>10000000</v>
      </c>
      <c r="H303" s="229" t="s">
        <v>301</v>
      </c>
      <c r="I303" s="243" t="s">
        <v>28</v>
      </c>
      <c r="J303" s="243" t="s">
        <v>32</v>
      </c>
      <c r="K303" s="243" t="s">
        <v>129</v>
      </c>
      <c r="L303" s="337" t="s">
        <v>274</v>
      </c>
    </row>
    <row r="304" spans="1:12" ht="36.75" customHeight="1" x14ac:dyDescent="0.3">
      <c r="A304" s="305"/>
      <c r="B304" s="205"/>
      <c r="C304" s="205"/>
      <c r="D304" s="6" t="s">
        <v>26</v>
      </c>
      <c r="E304" s="40">
        <v>100000</v>
      </c>
      <c r="F304" s="40">
        <v>750000</v>
      </c>
      <c r="G304" s="40">
        <v>1500000</v>
      </c>
      <c r="H304" s="205"/>
      <c r="I304" s="197"/>
      <c r="J304" s="197"/>
      <c r="K304" s="197"/>
      <c r="L304" s="259"/>
    </row>
    <row r="305" spans="1:12" ht="36.75" customHeight="1" thickBot="1" x14ac:dyDescent="0.35">
      <c r="A305" s="306"/>
      <c r="B305" s="228"/>
      <c r="C305" s="228"/>
      <c r="D305" s="10" t="s">
        <v>418</v>
      </c>
      <c r="E305" s="46"/>
      <c r="F305" s="46">
        <v>4250000</v>
      </c>
      <c r="G305" s="46">
        <v>8500000</v>
      </c>
      <c r="H305" s="228"/>
      <c r="I305" s="307"/>
      <c r="J305" s="307"/>
      <c r="K305" s="307"/>
      <c r="L305" s="338"/>
    </row>
    <row r="306" spans="1:12" ht="32.25" customHeight="1" thickBot="1" x14ac:dyDescent="0.35">
      <c r="A306" s="24" t="s">
        <v>748</v>
      </c>
      <c r="B306" s="221" t="s">
        <v>749</v>
      </c>
      <c r="C306" s="222"/>
      <c r="D306" s="223"/>
      <c r="E306" s="47">
        <v>0</v>
      </c>
      <c r="F306" s="47">
        <v>0</v>
      </c>
      <c r="G306" s="47">
        <v>0</v>
      </c>
      <c r="H306" s="224"/>
      <c r="I306" s="225"/>
      <c r="J306" s="225"/>
      <c r="K306" s="225"/>
      <c r="L306" s="226"/>
    </row>
    <row r="307" spans="1:12" ht="16" thickBot="1" x14ac:dyDescent="0.35">
      <c r="A307" s="20" t="s">
        <v>750</v>
      </c>
      <c r="B307" s="194" t="s">
        <v>751</v>
      </c>
      <c r="C307" s="195"/>
      <c r="D307" s="196"/>
      <c r="E307" s="38">
        <f>E308+E309+E317+E318</f>
        <v>31096831</v>
      </c>
      <c r="F307" s="38">
        <f>F308+F309+F317+F318</f>
        <v>32575000</v>
      </c>
      <c r="G307" s="38">
        <f>G308+G309+G317+G318</f>
        <v>33045000</v>
      </c>
      <c r="H307" s="188"/>
      <c r="I307" s="189"/>
      <c r="J307" s="189"/>
      <c r="K307" s="189"/>
      <c r="L307" s="190"/>
    </row>
    <row r="308" spans="1:12" ht="16" thickBot="1" x14ac:dyDescent="0.35">
      <c r="A308" s="21" t="s">
        <v>752</v>
      </c>
      <c r="B308" s="185" t="s">
        <v>753</v>
      </c>
      <c r="C308" s="186"/>
      <c r="D308" s="187"/>
      <c r="E308" s="43">
        <v>0</v>
      </c>
      <c r="F308" s="43">
        <v>0</v>
      </c>
      <c r="G308" s="43">
        <v>0</v>
      </c>
      <c r="H308" s="191"/>
      <c r="I308" s="192"/>
      <c r="J308" s="192"/>
      <c r="K308" s="192"/>
      <c r="L308" s="193"/>
    </row>
    <row r="309" spans="1:12" ht="16" thickBot="1" x14ac:dyDescent="0.35">
      <c r="A309" s="117" t="s">
        <v>754</v>
      </c>
      <c r="B309" s="215" t="s">
        <v>755</v>
      </c>
      <c r="C309" s="216"/>
      <c r="D309" s="217"/>
      <c r="E309" s="118">
        <f>E310+E313+E314+E316</f>
        <v>31096831</v>
      </c>
      <c r="F309" s="118">
        <f>F310+F313+F314+F316</f>
        <v>32575000</v>
      </c>
      <c r="G309" s="118">
        <f>G310+G313+G314+G316</f>
        <v>33045000</v>
      </c>
      <c r="H309" s="218"/>
      <c r="I309" s="219"/>
      <c r="J309" s="219"/>
      <c r="K309" s="219"/>
      <c r="L309" s="220"/>
    </row>
    <row r="310" spans="1:12" ht="31" x14ac:dyDescent="0.3">
      <c r="A310" s="321" t="s">
        <v>756</v>
      </c>
      <c r="B310" s="318" t="s">
        <v>757</v>
      </c>
      <c r="C310" s="318" t="s">
        <v>72</v>
      </c>
      <c r="D310" s="122" t="s">
        <v>268</v>
      </c>
      <c r="E310" s="161">
        <f t="shared" ref="E310" si="31">SUM(E311:E312)</f>
        <v>1021831</v>
      </c>
      <c r="F310" s="161"/>
      <c r="G310" s="161"/>
      <c r="H310" s="153" t="s">
        <v>301</v>
      </c>
      <c r="I310" s="122" t="s">
        <v>28</v>
      </c>
      <c r="J310" s="122" t="s">
        <v>147</v>
      </c>
      <c r="K310" s="122" t="s">
        <v>48</v>
      </c>
      <c r="L310" s="123" t="s">
        <v>48</v>
      </c>
    </row>
    <row r="311" spans="1:12" ht="31" x14ac:dyDescent="0.3">
      <c r="A311" s="322"/>
      <c r="B311" s="319"/>
      <c r="C311" s="319"/>
      <c r="D311" s="120" t="s">
        <v>418</v>
      </c>
      <c r="E311" s="148">
        <v>616143</v>
      </c>
      <c r="F311" s="148"/>
      <c r="G311" s="148"/>
      <c r="H311" s="139" t="s">
        <v>758</v>
      </c>
      <c r="I311" s="120" t="s">
        <v>31</v>
      </c>
      <c r="J311" s="120" t="s">
        <v>47</v>
      </c>
      <c r="K311" s="120" t="s">
        <v>48</v>
      </c>
      <c r="L311" s="124" t="s">
        <v>48</v>
      </c>
    </row>
    <row r="312" spans="1:12" ht="31.5" thickBot="1" x14ac:dyDescent="0.35">
      <c r="A312" s="323"/>
      <c r="B312" s="320"/>
      <c r="C312" s="320"/>
      <c r="D312" s="126" t="s">
        <v>26</v>
      </c>
      <c r="E312" s="162">
        <v>405688</v>
      </c>
      <c r="F312" s="162"/>
      <c r="G312" s="162"/>
      <c r="H312" s="154" t="s">
        <v>759</v>
      </c>
      <c r="I312" s="126" t="s">
        <v>31</v>
      </c>
      <c r="J312" s="126" t="s">
        <v>47</v>
      </c>
      <c r="K312" s="126" t="s">
        <v>48</v>
      </c>
      <c r="L312" s="127" t="s">
        <v>48</v>
      </c>
    </row>
    <row r="313" spans="1:12" ht="62.5" thickBot="1" x14ac:dyDescent="0.35">
      <c r="A313" s="66" t="s">
        <v>760</v>
      </c>
      <c r="B313" s="93" t="s">
        <v>761</v>
      </c>
      <c r="C313" s="93" t="s">
        <v>718</v>
      </c>
      <c r="D313" s="92" t="s">
        <v>26</v>
      </c>
      <c r="E313" s="95">
        <v>14000000</v>
      </c>
      <c r="F313" s="95">
        <v>14500000</v>
      </c>
      <c r="G313" s="95">
        <v>14500000</v>
      </c>
      <c r="H313" s="93" t="s">
        <v>762</v>
      </c>
      <c r="I313" s="92" t="s">
        <v>50</v>
      </c>
      <c r="J313" s="92" t="s">
        <v>763</v>
      </c>
      <c r="K313" s="92" t="s">
        <v>764</v>
      </c>
      <c r="L313" s="91" t="s">
        <v>764</v>
      </c>
    </row>
    <row r="314" spans="1:12" ht="29.25" customHeight="1" x14ac:dyDescent="0.3">
      <c r="A314" s="302" t="s">
        <v>765</v>
      </c>
      <c r="B314" s="229" t="s">
        <v>766</v>
      </c>
      <c r="C314" s="229" t="s">
        <v>718</v>
      </c>
      <c r="D314" s="243" t="s">
        <v>26</v>
      </c>
      <c r="E314" s="255">
        <f>SUM(E315:E315)+16000000</f>
        <v>16000000</v>
      </c>
      <c r="F314" s="255">
        <f>SUM(F315:F315)+18000000</f>
        <v>18000000</v>
      </c>
      <c r="G314" s="255">
        <f>SUM(G315:G315)+18500000</f>
        <v>18500000</v>
      </c>
      <c r="H314" s="3" t="s">
        <v>767</v>
      </c>
      <c r="I314" s="5" t="s">
        <v>28</v>
      </c>
      <c r="J314" s="5" t="s">
        <v>47</v>
      </c>
      <c r="K314" s="5" t="s">
        <v>47</v>
      </c>
      <c r="L314" s="31" t="s">
        <v>47</v>
      </c>
    </row>
    <row r="315" spans="1:12" ht="62.5" thickBot="1" x14ac:dyDescent="0.35">
      <c r="A315" s="313"/>
      <c r="B315" s="206"/>
      <c r="C315" s="206"/>
      <c r="D315" s="198"/>
      <c r="E315" s="256">
        <v>0</v>
      </c>
      <c r="F315" s="256">
        <v>0</v>
      </c>
      <c r="G315" s="256">
        <v>0</v>
      </c>
      <c r="H315" s="4" t="s">
        <v>768</v>
      </c>
      <c r="I315" s="6" t="s">
        <v>50</v>
      </c>
      <c r="J315" s="6" t="s">
        <v>769</v>
      </c>
      <c r="K315" s="6" t="s">
        <v>770</v>
      </c>
      <c r="L315" s="32" t="s">
        <v>771</v>
      </c>
    </row>
    <row r="316" spans="1:12" ht="62.5" thickBot="1" x14ac:dyDescent="0.35">
      <c r="A316" s="22" t="s">
        <v>772</v>
      </c>
      <c r="B316" s="3" t="s">
        <v>773</v>
      </c>
      <c r="C316" s="3" t="s">
        <v>718</v>
      </c>
      <c r="D316" s="5" t="s">
        <v>26</v>
      </c>
      <c r="E316" s="42">
        <v>75000</v>
      </c>
      <c r="F316" s="42">
        <v>75000</v>
      </c>
      <c r="G316" s="42">
        <v>45000</v>
      </c>
      <c r="H316" s="3" t="s">
        <v>774</v>
      </c>
      <c r="I316" s="5" t="s">
        <v>31</v>
      </c>
      <c r="J316" s="5" t="s">
        <v>133</v>
      </c>
      <c r="K316" s="5" t="s">
        <v>89</v>
      </c>
      <c r="L316" s="31" t="s">
        <v>75</v>
      </c>
    </row>
    <row r="317" spans="1:12" ht="32.25" customHeight="1" thickBot="1" x14ac:dyDescent="0.35">
      <c r="A317" s="21" t="s">
        <v>775</v>
      </c>
      <c r="B317" s="185" t="s">
        <v>776</v>
      </c>
      <c r="C317" s="186"/>
      <c r="D317" s="187"/>
      <c r="E317" s="43">
        <v>0</v>
      </c>
      <c r="F317" s="43">
        <v>0</v>
      </c>
      <c r="G317" s="43">
        <v>0</v>
      </c>
      <c r="H317" s="191"/>
      <c r="I317" s="192"/>
      <c r="J317" s="192"/>
      <c r="K317" s="192"/>
      <c r="L317" s="193"/>
    </row>
    <row r="318" spans="1:12" ht="32.25" customHeight="1" thickBot="1" x14ac:dyDescent="0.35">
      <c r="A318" s="21" t="s">
        <v>777</v>
      </c>
      <c r="B318" s="185" t="s">
        <v>778</v>
      </c>
      <c r="C318" s="186"/>
      <c r="D318" s="187"/>
      <c r="E318" s="43">
        <v>0</v>
      </c>
      <c r="F318" s="43">
        <v>0</v>
      </c>
      <c r="G318" s="43">
        <v>0</v>
      </c>
      <c r="H318" s="191"/>
      <c r="I318" s="192"/>
      <c r="J318" s="192"/>
      <c r="K318" s="192"/>
      <c r="L318" s="193"/>
    </row>
    <row r="319" spans="1:12" ht="16" thickBot="1" x14ac:dyDescent="0.35">
      <c r="A319" s="128" t="s">
        <v>779</v>
      </c>
      <c r="B319" s="339" t="s">
        <v>780</v>
      </c>
      <c r="C319" s="340"/>
      <c r="D319" s="341"/>
      <c r="E319" s="129">
        <f t="shared" ref="E319:G319" si="32">E320+E322+E332</f>
        <v>9201054.6500000004</v>
      </c>
      <c r="F319" s="129">
        <f t="shared" si="32"/>
        <v>3158274</v>
      </c>
      <c r="G319" s="129">
        <f t="shared" si="32"/>
        <v>3108474</v>
      </c>
      <c r="H319" s="252"/>
      <c r="I319" s="253"/>
      <c r="J319" s="253"/>
      <c r="K319" s="253"/>
      <c r="L319" s="254"/>
    </row>
    <row r="320" spans="1:12" ht="32.25" customHeight="1" thickBot="1" x14ac:dyDescent="0.35">
      <c r="A320" s="170" t="s">
        <v>781</v>
      </c>
      <c r="B320" s="199" t="s">
        <v>782</v>
      </c>
      <c r="C320" s="200"/>
      <c r="D320" s="201"/>
      <c r="E320" s="171">
        <f t="shared" ref="E320:G320" si="33">SUM(E321:E321)</f>
        <v>150000</v>
      </c>
      <c r="F320" s="171">
        <f t="shared" si="33"/>
        <v>100000</v>
      </c>
      <c r="G320" s="171">
        <f t="shared" si="33"/>
        <v>50000</v>
      </c>
      <c r="H320" s="202"/>
      <c r="I320" s="203"/>
      <c r="J320" s="203"/>
      <c r="K320" s="203"/>
      <c r="L320" s="204"/>
    </row>
    <row r="321" spans="1:12" ht="62.5" thickBot="1" x14ac:dyDescent="0.35">
      <c r="A321" s="66" t="s">
        <v>783</v>
      </c>
      <c r="B321" s="104" t="s">
        <v>784</v>
      </c>
      <c r="C321" s="104" t="s">
        <v>718</v>
      </c>
      <c r="D321" s="98" t="s">
        <v>26</v>
      </c>
      <c r="E321" s="103">
        <v>150000</v>
      </c>
      <c r="F321" s="103">
        <v>100000</v>
      </c>
      <c r="G321" s="103">
        <v>50000</v>
      </c>
      <c r="H321" s="104" t="s">
        <v>785</v>
      </c>
      <c r="I321" s="98" t="s">
        <v>31</v>
      </c>
      <c r="J321" s="98" t="s">
        <v>140</v>
      </c>
      <c r="K321" s="98" t="s">
        <v>272</v>
      </c>
      <c r="L321" s="106" t="s">
        <v>167</v>
      </c>
    </row>
    <row r="322" spans="1:12" ht="32.25" customHeight="1" thickBot="1" x14ac:dyDescent="0.35">
      <c r="A322" s="21" t="s">
        <v>786</v>
      </c>
      <c r="B322" s="185" t="s">
        <v>787</v>
      </c>
      <c r="C322" s="186"/>
      <c r="D322" s="187"/>
      <c r="E322" s="39">
        <f t="shared" ref="E322:G322" si="34">E323+E325+E327+E328+E331</f>
        <v>2962477</v>
      </c>
      <c r="F322" s="39">
        <f t="shared" si="34"/>
        <v>804000</v>
      </c>
      <c r="G322" s="39">
        <f t="shared" si="34"/>
        <v>804000</v>
      </c>
      <c r="H322" s="191"/>
      <c r="I322" s="192"/>
      <c r="J322" s="192"/>
      <c r="K322" s="192"/>
      <c r="L322" s="193"/>
    </row>
    <row r="323" spans="1:12" ht="33.75" customHeight="1" x14ac:dyDescent="0.3">
      <c r="A323" s="302" t="s">
        <v>788</v>
      </c>
      <c r="B323" s="229" t="s">
        <v>789</v>
      </c>
      <c r="C323" s="229" t="s">
        <v>718</v>
      </c>
      <c r="D323" s="243" t="s">
        <v>26</v>
      </c>
      <c r="E323" s="255">
        <f>SUM(E324:E324)+165000</f>
        <v>165000</v>
      </c>
      <c r="F323" s="255">
        <f>SUM(F324:F324)+30000</f>
        <v>30000</v>
      </c>
      <c r="G323" s="255">
        <f>SUM(G324:G324)+30000</f>
        <v>30000</v>
      </c>
      <c r="H323" s="3" t="s">
        <v>790</v>
      </c>
      <c r="I323" s="5" t="s">
        <v>31</v>
      </c>
      <c r="J323" s="5" t="s">
        <v>60</v>
      </c>
      <c r="K323" s="5" t="s">
        <v>58</v>
      </c>
      <c r="L323" s="31" t="s">
        <v>220</v>
      </c>
    </row>
    <row r="324" spans="1:12" ht="48.65" customHeight="1" thickBot="1" x14ac:dyDescent="0.35">
      <c r="A324" s="313"/>
      <c r="B324" s="206"/>
      <c r="C324" s="206"/>
      <c r="D324" s="198"/>
      <c r="E324" s="256">
        <v>0</v>
      </c>
      <c r="F324" s="256">
        <v>0</v>
      </c>
      <c r="G324" s="256">
        <v>0</v>
      </c>
      <c r="H324" s="4" t="s">
        <v>791</v>
      </c>
      <c r="I324" s="6" t="s">
        <v>31</v>
      </c>
      <c r="J324" s="6" t="s">
        <v>792</v>
      </c>
      <c r="K324" s="6" t="s">
        <v>792</v>
      </c>
      <c r="L324" s="32" t="s">
        <v>792</v>
      </c>
    </row>
    <row r="325" spans="1:12" ht="68.25" customHeight="1" x14ac:dyDescent="0.3">
      <c r="A325" s="302" t="s">
        <v>793</v>
      </c>
      <c r="B325" s="229" t="s">
        <v>794</v>
      </c>
      <c r="C325" s="229" t="s">
        <v>718</v>
      </c>
      <c r="D325" s="243" t="s">
        <v>26</v>
      </c>
      <c r="E325" s="255">
        <f>SUM(E326:E326)+570000</f>
        <v>570000</v>
      </c>
      <c r="F325" s="255">
        <f>SUM(F326:F326)+450000</f>
        <v>450000</v>
      </c>
      <c r="G325" s="255">
        <f>SUM(G326:G326)+450000</f>
        <v>450000</v>
      </c>
      <c r="H325" s="3" t="s">
        <v>795</v>
      </c>
      <c r="I325" s="5" t="s">
        <v>31</v>
      </c>
      <c r="J325" s="5" t="s">
        <v>86</v>
      </c>
      <c r="K325" s="5" t="s">
        <v>86</v>
      </c>
      <c r="L325" s="31" t="s">
        <v>86</v>
      </c>
    </row>
    <row r="326" spans="1:12" ht="45.65" customHeight="1" thickBot="1" x14ac:dyDescent="0.35">
      <c r="A326" s="313"/>
      <c r="B326" s="206"/>
      <c r="C326" s="206"/>
      <c r="D326" s="198"/>
      <c r="E326" s="256">
        <v>0</v>
      </c>
      <c r="F326" s="256">
        <v>0</v>
      </c>
      <c r="G326" s="256">
        <v>0</v>
      </c>
      <c r="H326" s="4" t="s">
        <v>796</v>
      </c>
      <c r="I326" s="6" t="s">
        <v>656</v>
      </c>
      <c r="J326" s="6" t="s">
        <v>797</v>
      </c>
      <c r="K326" s="6" t="s">
        <v>798</v>
      </c>
      <c r="L326" s="32" t="s">
        <v>798</v>
      </c>
    </row>
    <row r="327" spans="1:12" ht="62.5" thickBot="1" x14ac:dyDescent="0.35">
      <c r="A327" s="22" t="s">
        <v>799</v>
      </c>
      <c r="B327" s="3" t="s">
        <v>800</v>
      </c>
      <c r="C327" s="3" t="s">
        <v>718</v>
      </c>
      <c r="D327" s="5" t="s">
        <v>26</v>
      </c>
      <c r="E327" s="42">
        <v>300000</v>
      </c>
      <c r="F327" s="42">
        <v>300000</v>
      </c>
      <c r="G327" s="42">
        <v>300000</v>
      </c>
      <c r="H327" s="3" t="s">
        <v>801</v>
      </c>
      <c r="I327" s="5" t="s">
        <v>31</v>
      </c>
      <c r="J327" s="5" t="s">
        <v>802</v>
      </c>
      <c r="K327" s="5" t="s">
        <v>803</v>
      </c>
      <c r="L327" s="31" t="s">
        <v>804</v>
      </c>
    </row>
    <row r="328" spans="1:12" ht="31" x14ac:dyDescent="0.3">
      <c r="A328" s="302" t="s">
        <v>805</v>
      </c>
      <c r="B328" s="229" t="s">
        <v>806</v>
      </c>
      <c r="C328" s="229" t="s">
        <v>72</v>
      </c>
      <c r="D328" s="5" t="s">
        <v>268</v>
      </c>
      <c r="E328" s="44">
        <f t="shared" ref="E328" si="35">SUM(E329:E330)</f>
        <v>1904717</v>
      </c>
      <c r="F328" s="44"/>
      <c r="G328" s="44"/>
      <c r="H328" s="3" t="s">
        <v>301</v>
      </c>
      <c r="I328" s="5" t="s">
        <v>28</v>
      </c>
      <c r="J328" s="5" t="s">
        <v>712</v>
      </c>
      <c r="K328" s="5" t="s">
        <v>48</v>
      </c>
      <c r="L328" s="31" t="s">
        <v>48</v>
      </c>
    </row>
    <row r="329" spans="1:12" ht="22.5" customHeight="1" x14ac:dyDescent="0.3">
      <c r="A329" s="303"/>
      <c r="B329" s="205"/>
      <c r="C329" s="205"/>
      <c r="D329" s="6" t="s">
        <v>418</v>
      </c>
      <c r="E329" s="40">
        <v>1538500</v>
      </c>
      <c r="F329" s="40"/>
      <c r="G329" s="40"/>
      <c r="H329" s="246" t="s">
        <v>758</v>
      </c>
      <c r="I329" s="207" t="s">
        <v>31</v>
      </c>
      <c r="J329" s="207" t="s">
        <v>150</v>
      </c>
      <c r="K329" s="207" t="s">
        <v>48</v>
      </c>
      <c r="L329" s="250" t="s">
        <v>48</v>
      </c>
    </row>
    <row r="330" spans="1:12" ht="21.75" customHeight="1" thickBot="1" x14ac:dyDescent="0.35">
      <c r="A330" s="313"/>
      <c r="B330" s="206"/>
      <c r="C330" s="206"/>
      <c r="D330" s="6" t="s">
        <v>26</v>
      </c>
      <c r="E330" s="40">
        <v>366217</v>
      </c>
      <c r="F330" s="40"/>
      <c r="G330" s="40"/>
      <c r="H330" s="206"/>
      <c r="I330" s="198"/>
      <c r="J330" s="198"/>
      <c r="K330" s="198"/>
      <c r="L330" s="251"/>
    </row>
    <row r="331" spans="1:12" ht="120.75" customHeight="1" thickBot="1" x14ac:dyDescent="0.35">
      <c r="A331" s="22" t="s">
        <v>807</v>
      </c>
      <c r="B331" s="3" t="s">
        <v>808</v>
      </c>
      <c r="C331" s="3" t="s">
        <v>718</v>
      </c>
      <c r="D331" s="5" t="s">
        <v>26</v>
      </c>
      <c r="E331" s="42">
        <v>22760</v>
      </c>
      <c r="F331" s="42">
        <v>24000</v>
      </c>
      <c r="G331" s="42">
        <v>24000</v>
      </c>
      <c r="H331" s="3" t="s">
        <v>809</v>
      </c>
      <c r="I331" s="5" t="s">
        <v>31</v>
      </c>
      <c r="J331" s="5" t="s">
        <v>203</v>
      </c>
      <c r="K331" s="5" t="s">
        <v>203</v>
      </c>
      <c r="L331" s="31" t="s">
        <v>203</v>
      </c>
    </row>
    <row r="332" spans="1:12" ht="32.25" customHeight="1" thickBot="1" x14ac:dyDescent="0.35">
      <c r="A332" s="117" t="s">
        <v>810</v>
      </c>
      <c r="B332" s="215" t="s">
        <v>811</v>
      </c>
      <c r="C332" s="216"/>
      <c r="D332" s="217"/>
      <c r="E332" s="118">
        <f t="shared" ref="E332:G332" si="36">E333+E336</f>
        <v>6088577.6500000004</v>
      </c>
      <c r="F332" s="118">
        <f t="shared" si="36"/>
        <v>2254274</v>
      </c>
      <c r="G332" s="118">
        <f t="shared" si="36"/>
        <v>2254474</v>
      </c>
      <c r="H332" s="218"/>
      <c r="I332" s="219"/>
      <c r="J332" s="219"/>
      <c r="K332" s="219"/>
      <c r="L332" s="220"/>
    </row>
    <row r="333" spans="1:12" ht="31" x14ac:dyDescent="0.3">
      <c r="A333" s="304" t="s">
        <v>812</v>
      </c>
      <c r="B333" s="227" t="s">
        <v>813</v>
      </c>
      <c r="C333" s="227" t="s">
        <v>718</v>
      </c>
      <c r="D333" s="9" t="s">
        <v>268</v>
      </c>
      <c r="E333" s="45">
        <f t="shared" ref="E333:G333" si="37">SUM(E334:E335)</f>
        <v>2254077.65</v>
      </c>
      <c r="F333" s="45">
        <f t="shared" si="37"/>
        <v>2254274</v>
      </c>
      <c r="G333" s="45">
        <f t="shared" si="37"/>
        <v>2254474</v>
      </c>
      <c r="H333" s="57" t="s">
        <v>814</v>
      </c>
      <c r="I333" s="9" t="s">
        <v>31</v>
      </c>
      <c r="J333" s="9" t="s">
        <v>815</v>
      </c>
      <c r="K333" s="9" t="s">
        <v>816</v>
      </c>
      <c r="L333" s="58" t="s">
        <v>817</v>
      </c>
    </row>
    <row r="334" spans="1:12" ht="31" x14ac:dyDescent="0.3">
      <c r="A334" s="305"/>
      <c r="B334" s="205"/>
      <c r="C334" s="205"/>
      <c r="D334" s="6" t="s">
        <v>270</v>
      </c>
      <c r="E334" s="40">
        <v>190513.65</v>
      </c>
      <c r="F334" s="40">
        <v>190710</v>
      </c>
      <c r="G334" s="40">
        <v>190910</v>
      </c>
      <c r="H334" s="4" t="s">
        <v>818</v>
      </c>
      <c r="I334" s="6" t="s">
        <v>819</v>
      </c>
      <c r="J334" s="6" t="s">
        <v>820</v>
      </c>
      <c r="K334" s="6" t="s">
        <v>821</v>
      </c>
      <c r="L334" s="67" t="s">
        <v>822</v>
      </c>
    </row>
    <row r="335" spans="1:12" ht="16" thickBot="1" x14ac:dyDescent="0.35">
      <c r="A335" s="306"/>
      <c r="B335" s="228"/>
      <c r="C335" s="228"/>
      <c r="D335" s="10" t="s">
        <v>26</v>
      </c>
      <c r="E335" s="46">
        <v>2063564</v>
      </c>
      <c r="F335" s="46">
        <v>2063564</v>
      </c>
      <c r="G335" s="46">
        <v>2063564</v>
      </c>
      <c r="H335" s="59" t="s">
        <v>823</v>
      </c>
      <c r="I335" s="10" t="s">
        <v>50</v>
      </c>
      <c r="J335" s="10" t="s">
        <v>824</v>
      </c>
      <c r="K335" s="10" t="s">
        <v>825</v>
      </c>
      <c r="L335" s="60" t="s">
        <v>124</v>
      </c>
    </row>
    <row r="336" spans="1:12" ht="65.5" customHeight="1" thickBot="1" x14ac:dyDescent="0.35">
      <c r="A336" s="66" t="s">
        <v>826</v>
      </c>
      <c r="B336" s="104" t="s">
        <v>827</v>
      </c>
      <c r="C336" s="104" t="s">
        <v>300</v>
      </c>
      <c r="D336" s="98" t="s">
        <v>26</v>
      </c>
      <c r="E336" s="103">
        <v>3834500</v>
      </c>
      <c r="F336" s="103"/>
      <c r="G336" s="103"/>
      <c r="H336" s="104" t="s">
        <v>301</v>
      </c>
      <c r="I336" s="98" t="s">
        <v>28</v>
      </c>
      <c r="J336" s="98" t="s">
        <v>274</v>
      </c>
      <c r="K336" s="98" t="s">
        <v>48</v>
      </c>
      <c r="L336" s="106" t="s">
        <v>48</v>
      </c>
    </row>
    <row r="337" spans="1:12" ht="56.5" customHeight="1" thickBot="1" x14ac:dyDescent="0.35">
      <c r="A337" s="19" t="s">
        <v>828</v>
      </c>
      <c r="B337" s="261" t="s">
        <v>829</v>
      </c>
      <c r="C337" s="262"/>
      <c r="D337" s="263"/>
      <c r="E337" s="37">
        <f>E338+E388+E421+E426</f>
        <v>29408425.969999999</v>
      </c>
      <c r="F337" s="37">
        <f>F338+F388+F421+F426</f>
        <v>24407939</v>
      </c>
      <c r="G337" s="37">
        <f>G338+G388+G421+G426</f>
        <v>21840537</v>
      </c>
      <c r="H337" s="247"/>
      <c r="I337" s="248"/>
      <c r="J337" s="248"/>
      <c r="K337" s="248"/>
      <c r="L337" s="249"/>
    </row>
    <row r="338" spans="1:12" ht="39.65" customHeight="1" thickBot="1" x14ac:dyDescent="0.35">
      <c r="A338" s="20" t="s">
        <v>830</v>
      </c>
      <c r="B338" s="194" t="s">
        <v>831</v>
      </c>
      <c r="C338" s="195"/>
      <c r="D338" s="196"/>
      <c r="E338" s="38">
        <f>E339+E340+E363+E369+E372+E373</f>
        <v>16290162</v>
      </c>
      <c r="F338" s="38">
        <f>F339+F340+F363+F369+F372+F373</f>
        <v>16471252</v>
      </c>
      <c r="G338" s="38">
        <f>G339+G340+G363+G369+G372+G373</f>
        <v>12515478</v>
      </c>
      <c r="H338" s="188"/>
      <c r="I338" s="189"/>
      <c r="J338" s="189"/>
      <c r="K338" s="189"/>
      <c r="L338" s="190"/>
    </row>
    <row r="339" spans="1:12" ht="37" customHeight="1" thickBot="1" x14ac:dyDescent="0.35">
      <c r="A339" s="21" t="s">
        <v>832</v>
      </c>
      <c r="B339" s="185" t="s">
        <v>833</v>
      </c>
      <c r="C339" s="186"/>
      <c r="D339" s="187"/>
      <c r="E339" s="43">
        <v>0</v>
      </c>
      <c r="F339" s="43">
        <v>0</v>
      </c>
      <c r="G339" s="43">
        <v>0</v>
      </c>
      <c r="H339" s="191"/>
      <c r="I339" s="192"/>
      <c r="J339" s="192"/>
      <c r="K339" s="192"/>
      <c r="L339" s="193"/>
    </row>
    <row r="340" spans="1:12" ht="68.5" customHeight="1" thickBot="1" x14ac:dyDescent="0.35">
      <c r="A340" s="117" t="s">
        <v>834</v>
      </c>
      <c r="B340" s="215" t="s">
        <v>835</v>
      </c>
      <c r="C340" s="216"/>
      <c r="D340" s="217"/>
      <c r="E340" s="118">
        <f t="shared" ref="E340:G340" si="38">E341+E346+E351+E352+E354+E355+E358</f>
        <v>5531703</v>
      </c>
      <c r="F340" s="118">
        <f t="shared" si="38"/>
        <v>4802502</v>
      </c>
      <c r="G340" s="118">
        <f t="shared" si="38"/>
        <v>4896728</v>
      </c>
      <c r="H340" s="218"/>
      <c r="I340" s="219"/>
      <c r="J340" s="219"/>
      <c r="K340" s="219"/>
      <c r="L340" s="220"/>
    </row>
    <row r="341" spans="1:12" ht="32.25" customHeight="1" x14ac:dyDescent="0.3">
      <c r="A341" s="321" t="s">
        <v>836</v>
      </c>
      <c r="B341" s="318" t="s">
        <v>837</v>
      </c>
      <c r="C341" s="318" t="s">
        <v>223</v>
      </c>
      <c r="D341" s="271" t="s">
        <v>26</v>
      </c>
      <c r="E341" s="274">
        <f t="shared" ref="E341:G341" si="39">SUM(E342:E345)+2700000</f>
        <v>2700000</v>
      </c>
      <c r="F341" s="274">
        <f t="shared" si="39"/>
        <v>2700000</v>
      </c>
      <c r="G341" s="274">
        <f t="shared" si="39"/>
        <v>2700000</v>
      </c>
      <c r="H341" s="121" t="s">
        <v>838</v>
      </c>
      <c r="I341" s="122" t="s">
        <v>28</v>
      </c>
      <c r="J341" s="122" t="s">
        <v>571</v>
      </c>
      <c r="K341" s="122" t="s">
        <v>167</v>
      </c>
      <c r="L341" s="123" t="s">
        <v>839</v>
      </c>
    </row>
    <row r="342" spans="1:12" ht="33.75" customHeight="1" x14ac:dyDescent="0.3">
      <c r="A342" s="322"/>
      <c r="B342" s="319"/>
      <c r="C342" s="319"/>
      <c r="D342" s="272"/>
      <c r="E342" s="275">
        <v>0</v>
      </c>
      <c r="F342" s="275">
        <v>0</v>
      </c>
      <c r="G342" s="275">
        <v>0</v>
      </c>
      <c r="H342" s="119" t="s">
        <v>840</v>
      </c>
      <c r="I342" s="120" t="s">
        <v>28</v>
      </c>
      <c r="J342" s="120" t="s">
        <v>104</v>
      </c>
      <c r="K342" s="120" t="s">
        <v>38</v>
      </c>
      <c r="L342" s="124" t="s">
        <v>39</v>
      </c>
    </row>
    <row r="343" spans="1:12" ht="33" customHeight="1" x14ac:dyDescent="0.3">
      <c r="A343" s="322"/>
      <c r="B343" s="319"/>
      <c r="C343" s="319"/>
      <c r="D343" s="272"/>
      <c r="E343" s="275">
        <v>0</v>
      </c>
      <c r="F343" s="275">
        <v>0</v>
      </c>
      <c r="G343" s="275">
        <v>0</v>
      </c>
      <c r="H343" s="119" t="s">
        <v>841</v>
      </c>
      <c r="I343" s="120" t="s">
        <v>28</v>
      </c>
      <c r="J343" s="120" t="s">
        <v>842</v>
      </c>
      <c r="K343" s="120" t="s">
        <v>842</v>
      </c>
      <c r="L343" s="124" t="s">
        <v>843</v>
      </c>
    </row>
    <row r="344" spans="1:12" ht="20.25" customHeight="1" x14ac:dyDescent="0.3">
      <c r="A344" s="322"/>
      <c r="B344" s="319"/>
      <c r="C344" s="319"/>
      <c r="D344" s="272"/>
      <c r="E344" s="275">
        <v>0</v>
      </c>
      <c r="F344" s="275">
        <v>0</v>
      </c>
      <c r="G344" s="275">
        <v>0</v>
      </c>
      <c r="H344" s="119" t="s">
        <v>844</v>
      </c>
      <c r="I344" s="120" t="s">
        <v>31</v>
      </c>
      <c r="J344" s="120" t="s">
        <v>845</v>
      </c>
      <c r="K344" s="120" t="s">
        <v>797</v>
      </c>
      <c r="L344" s="124" t="s">
        <v>846</v>
      </c>
    </row>
    <row r="345" spans="1:12" ht="33" customHeight="1" thickBot="1" x14ac:dyDescent="0.35">
      <c r="A345" s="323"/>
      <c r="B345" s="320"/>
      <c r="C345" s="320"/>
      <c r="D345" s="273"/>
      <c r="E345" s="276">
        <v>0</v>
      </c>
      <c r="F345" s="276">
        <v>0</v>
      </c>
      <c r="G345" s="276">
        <v>0</v>
      </c>
      <c r="H345" s="125" t="s">
        <v>847</v>
      </c>
      <c r="I345" s="126" t="s">
        <v>656</v>
      </c>
      <c r="J345" s="126" t="s">
        <v>815</v>
      </c>
      <c r="K345" s="126" t="s">
        <v>815</v>
      </c>
      <c r="L345" s="127" t="s">
        <v>848</v>
      </c>
    </row>
    <row r="346" spans="1:12" ht="36.65" customHeight="1" x14ac:dyDescent="0.3">
      <c r="A346" s="303" t="s">
        <v>849</v>
      </c>
      <c r="B346" s="205" t="s">
        <v>850</v>
      </c>
      <c r="C346" s="205" t="s">
        <v>851</v>
      </c>
      <c r="D346" s="197" t="s">
        <v>26</v>
      </c>
      <c r="E346" s="317">
        <f>SUM(E347:E350)+250000</f>
        <v>250000</v>
      </c>
      <c r="F346" s="317">
        <f>SUM(F347:F350)+300000</f>
        <v>300000</v>
      </c>
      <c r="G346" s="317">
        <f>SUM(G347:G350)+300000</f>
        <v>300000</v>
      </c>
      <c r="H346" s="93" t="s">
        <v>852</v>
      </c>
      <c r="I346" s="92" t="s">
        <v>31</v>
      </c>
      <c r="J346" s="92" t="s">
        <v>29</v>
      </c>
      <c r="K346" s="92" t="s">
        <v>29</v>
      </c>
      <c r="L346" s="91" t="s">
        <v>29</v>
      </c>
    </row>
    <row r="347" spans="1:12" ht="21" customHeight="1" x14ac:dyDescent="0.3">
      <c r="A347" s="303"/>
      <c r="B347" s="205"/>
      <c r="C347" s="205"/>
      <c r="D347" s="197"/>
      <c r="E347" s="317">
        <v>0</v>
      </c>
      <c r="F347" s="317">
        <v>0</v>
      </c>
      <c r="G347" s="317">
        <v>0</v>
      </c>
      <c r="H347" s="4" t="s">
        <v>853</v>
      </c>
      <c r="I347" s="6" t="s">
        <v>31</v>
      </c>
      <c r="J347" s="6" t="s">
        <v>47</v>
      </c>
      <c r="K347" s="6" t="s">
        <v>47</v>
      </c>
      <c r="L347" s="32" t="s">
        <v>47</v>
      </c>
    </row>
    <row r="348" spans="1:12" ht="30.65" customHeight="1" x14ac:dyDescent="0.3">
      <c r="A348" s="303"/>
      <c r="B348" s="205"/>
      <c r="C348" s="205"/>
      <c r="D348" s="197"/>
      <c r="E348" s="317">
        <v>0</v>
      </c>
      <c r="F348" s="317">
        <v>0</v>
      </c>
      <c r="G348" s="317">
        <v>0</v>
      </c>
      <c r="H348" s="4" t="s">
        <v>854</v>
      </c>
      <c r="I348" s="6" t="s">
        <v>31</v>
      </c>
      <c r="J348" s="6" t="s">
        <v>846</v>
      </c>
      <c r="K348" s="6" t="s">
        <v>846</v>
      </c>
      <c r="L348" s="32" t="s">
        <v>846</v>
      </c>
    </row>
    <row r="349" spans="1:12" ht="47.5" customHeight="1" x14ac:dyDescent="0.3">
      <c r="A349" s="303"/>
      <c r="B349" s="205"/>
      <c r="C349" s="205"/>
      <c r="D349" s="197"/>
      <c r="E349" s="317">
        <v>0</v>
      </c>
      <c r="F349" s="317">
        <v>0</v>
      </c>
      <c r="G349" s="317">
        <v>0</v>
      </c>
      <c r="H349" s="4" t="s">
        <v>855</v>
      </c>
      <c r="I349" s="6" t="s">
        <v>31</v>
      </c>
      <c r="J349" s="6" t="s">
        <v>58</v>
      </c>
      <c r="K349" s="6" t="s">
        <v>58</v>
      </c>
      <c r="L349" s="32" t="s">
        <v>58</v>
      </c>
    </row>
    <row r="350" spans="1:12" ht="50.5" customHeight="1" thickBot="1" x14ac:dyDescent="0.35">
      <c r="A350" s="303"/>
      <c r="B350" s="205"/>
      <c r="C350" s="205"/>
      <c r="D350" s="197"/>
      <c r="E350" s="317">
        <v>0</v>
      </c>
      <c r="F350" s="317">
        <v>0</v>
      </c>
      <c r="G350" s="317">
        <v>0</v>
      </c>
      <c r="H350" s="107" t="s">
        <v>856</v>
      </c>
      <c r="I350" s="97" t="s">
        <v>31</v>
      </c>
      <c r="J350" s="97" t="s">
        <v>220</v>
      </c>
      <c r="K350" s="97" t="s">
        <v>58</v>
      </c>
      <c r="L350" s="109" t="s">
        <v>58</v>
      </c>
    </row>
    <row r="351" spans="1:12" ht="86.5" customHeight="1" thickBot="1" x14ac:dyDescent="0.35">
      <c r="A351" s="112" t="s">
        <v>857</v>
      </c>
      <c r="B351" s="113" t="s">
        <v>858</v>
      </c>
      <c r="C351" s="113" t="s">
        <v>851</v>
      </c>
      <c r="D351" s="114" t="s">
        <v>26</v>
      </c>
      <c r="E351" s="115">
        <v>55866</v>
      </c>
      <c r="F351" s="115">
        <v>37502</v>
      </c>
      <c r="G351" s="115">
        <v>51728</v>
      </c>
      <c r="H351" s="113" t="s">
        <v>859</v>
      </c>
      <c r="I351" s="114" t="s">
        <v>31</v>
      </c>
      <c r="J351" s="114" t="s">
        <v>150</v>
      </c>
      <c r="K351" s="114" t="s">
        <v>203</v>
      </c>
      <c r="L351" s="116" t="s">
        <v>203</v>
      </c>
    </row>
    <row r="352" spans="1:12" ht="31" x14ac:dyDescent="0.3">
      <c r="A352" s="303" t="s">
        <v>860</v>
      </c>
      <c r="B352" s="205" t="s">
        <v>861</v>
      </c>
      <c r="C352" s="205" t="s">
        <v>851</v>
      </c>
      <c r="D352" s="197" t="s">
        <v>26</v>
      </c>
      <c r="E352" s="317">
        <f>SUM(E353:E353)+35844</f>
        <v>35844</v>
      </c>
      <c r="F352" s="317">
        <f>SUM(F353:F353)+35000</f>
        <v>35000</v>
      </c>
      <c r="G352" s="317">
        <f>SUM(G353:G353)+35000</f>
        <v>35000</v>
      </c>
      <c r="H352" s="104" t="s">
        <v>862</v>
      </c>
      <c r="I352" s="98" t="s">
        <v>31</v>
      </c>
      <c r="J352" s="98" t="s">
        <v>240</v>
      </c>
      <c r="K352" s="98" t="s">
        <v>240</v>
      </c>
      <c r="L352" s="106" t="s">
        <v>240</v>
      </c>
    </row>
    <row r="353" spans="1:12" ht="62.5" thickBot="1" x14ac:dyDescent="0.35">
      <c r="A353" s="313"/>
      <c r="B353" s="206"/>
      <c r="C353" s="206"/>
      <c r="D353" s="198"/>
      <c r="E353" s="256">
        <v>0</v>
      </c>
      <c r="F353" s="256">
        <v>0</v>
      </c>
      <c r="G353" s="256">
        <v>0</v>
      </c>
      <c r="H353" s="4" t="s">
        <v>863</v>
      </c>
      <c r="I353" s="6" t="s">
        <v>31</v>
      </c>
      <c r="J353" s="6" t="s">
        <v>864</v>
      </c>
      <c r="K353" s="6" t="s">
        <v>864</v>
      </c>
      <c r="L353" s="32" t="s">
        <v>864</v>
      </c>
    </row>
    <row r="354" spans="1:12" ht="62.5" thickBot="1" x14ac:dyDescent="0.35">
      <c r="A354" s="22" t="s">
        <v>865</v>
      </c>
      <c r="B354" s="3" t="s">
        <v>866</v>
      </c>
      <c r="C354" s="3" t="s">
        <v>223</v>
      </c>
      <c r="D354" s="5" t="s">
        <v>26</v>
      </c>
      <c r="E354" s="42">
        <v>2000000</v>
      </c>
      <c r="F354" s="42">
        <v>1680000</v>
      </c>
      <c r="G354" s="42">
        <v>1760000</v>
      </c>
      <c r="H354" s="3" t="s">
        <v>867</v>
      </c>
      <c r="I354" s="5" t="s">
        <v>868</v>
      </c>
      <c r="J354" s="5" t="s">
        <v>869</v>
      </c>
      <c r="K354" s="5" t="s">
        <v>870</v>
      </c>
      <c r="L354" s="31" t="s">
        <v>871</v>
      </c>
    </row>
    <row r="355" spans="1:12" ht="31" x14ac:dyDescent="0.3">
      <c r="A355" s="302" t="s">
        <v>872</v>
      </c>
      <c r="B355" s="229" t="s">
        <v>873</v>
      </c>
      <c r="C355" s="229" t="s">
        <v>72</v>
      </c>
      <c r="D355" s="5" t="s">
        <v>268</v>
      </c>
      <c r="E355" s="44">
        <f t="shared" ref="E355" si="40">SUM(E356:E357)</f>
        <v>439993</v>
      </c>
      <c r="F355" s="44"/>
      <c r="G355" s="44"/>
      <c r="H355" s="3" t="s">
        <v>301</v>
      </c>
      <c r="I355" s="5" t="s">
        <v>28</v>
      </c>
      <c r="J355" s="68" t="s">
        <v>129</v>
      </c>
      <c r="K355" s="5" t="s">
        <v>48</v>
      </c>
      <c r="L355" s="31" t="s">
        <v>48</v>
      </c>
    </row>
    <row r="356" spans="1:12" ht="18" customHeight="1" x14ac:dyDescent="0.3">
      <c r="A356" s="303"/>
      <c r="B356" s="205"/>
      <c r="C356" s="205"/>
      <c r="D356" s="6" t="s">
        <v>418</v>
      </c>
      <c r="E356" s="40">
        <v>168262</v>
      </c>
      <c r="F356" s="40"/>
      <c r="G356" s="40"/>
      <c r="H356" s="4" t="s">
        <v>874</v>
      </c>
      <c r="I356" s="6" t="s">
        <v>31</v>
      </c>
      <c r="J356" s="6" t="s">
        <v>628</v>
      </c>
      <c r="K356" s="6" t="s">
        <v>48</v>
      </c>
      <c r="L356" s="32" t="s">
        <v>48</v>
      </c>
    </row>
    <row r="357" spans="1:12" ht="31.5" thickBot="1" x14ac:dyDescent="0.35">
      <c r="A357" s="313"/>
      <c r="B357" s="206"/>
      <c r="C357" s="206"/>
      <c r="D357" s="6" t="s">
        <v>26</v>
      </c>
      <c r="E357" s="40">
        <v>271731</v>
      </c>
      <c r="F357" s="40"/>
      <c r="G357" s="40"/>
      <c r="H357" s="4" t="s">
        <v>875</v>
      </c>
      <c r="I357" s="6" t="s">
        <v>876</v>
      </c>
      <c r="J357" s="179">
        <v>0.27</v>
      </c>
      <c r="K357" s="76" t="s">
        <v>48</v>
      </c>
      <c r="L357" s="71" t="s">
        <v>48</v>
      </c>
    </row>
    <row r="358" spans="1:12" ht="15.5" x14ac:dyDescent="0.3">
      <c r="A358" s="302" t="s">
        <v>877</v>
      </c>
      <c r="B358" s="229" t="s">
        <v>878</v>
      </c>
      <c r="C358" s="229" t="s">
        <v>851</v>
      </c>
      <c r="D358" s="243" t="s">
        <v>26</v>
      </c>
      <c r="E358" s="255">
        <f>SUM(E359:E362)+50000</f>
        <v>50000</v>
      </c>
      <c r="F358" s="255">
        <f>SUM(F359:F362)+50000</f>
        <v>50000</v>
      </c>
      <c r="G358" s="255">
        <f>SUM(G359:G362)+50000</f>
        <v>50000</v>
      </c>
      <c r="H358" s="3" t="s">
        <v>879</v>
      </c>
      <c r="I358" s="5" t="s">
        <v>31</v>
      </c>
      <c r="J358" s="5" t="s">
        <v>158</v>
      </c>
      <c r="K358" s="5" t="s">
        <v>158</v>
      </c>
      <c r="L358" s="31" t="s">
        <v>158</v>
      </c>
    </row>
    <row r="359" spans="1:12" ht="62" x14ac:dyDescent="0.3">
      <c r="A359" s="303"/>
      <c r="B359" s="205"/>
      <c r="C359" s="205"/>
      <c r="D359" s="197"/>
      <c r="E359" s="317">
        <v>0</v>
      </c>
      <c r="F359" s="317">
        <v>0</v>
      </c>
      <c r="G359" s="317">
        <v>0</v>
      </c>
      <c r="H359" s="4" t="s">
        <v>880</v>
      </c>
      <c r="I359" s="6" t="s">
        <v>31</v>
      </c>
      <c r="J359" s="6" t="s">
        <v>712</v>
      </c>
      <c r="K359" s="6" t="s">
        <v>712</v>
      </c>
      <c r="L359" s="32" t="s">
        <v>712</v>
      </c>
    </row>
    <row r="360" spans="1:12" ht="62" x14ac:dyDescent="0.3">
      <c r="A360" s="303"/>
      <c r="B360" s="205"/>
      <c r="C360" s="205"/>
      <c r="D360" s="197"/>
      <c r="E360" s="317">
        <v>0</v>
      </c>
      <c r="F360" s="317">
        <v>0</v>
      </c>
      <c r="G360" s="317">
        <v>0</v>
      </c>
      <c r="H360" s="4" t="s">
        <v>881</v>
      </c>
      <c r="I360" s="6" t="s">
        <v>31</v>
      </c>
      <c r="J360" s="6" t="s">
        <v>506</v>
      </c>
      <c r="K360" s="6" t="s">
        <v>506</v>
      </c>
      <c r="L360" s="32" t="s">
        <v>506</v>
      </c>
    </row>
    <row r="361" spans="1:12" ht="31" x14ac:dyDescent="0.3">
      <c r="A361" s="303"/>
      <c r="B361" s="205"/>
      <c r="C361" s="205"/>
      <c r="D361" s="197"/>
      <c r="E361" s="317">
        <v>0</v>
      </c>
      <c r="F361" s="317">
        <v>0</v>
      </c>
      <c r="G361" s="317">
        <v>0</v>
      </c>
      <c r="H361" s="4" t="s">
        <v>882</v>
      </c>
      <c r="I361" s="6" t="s">
        <v>31</v>
      </c>
      <c r="J361" s="6" t="s">
        <v>140</v>
      </c>
      <c r="K361" s="6" t="s">
        <v>140</v>
      </c>
      <c r="L361" s="32" t="s">
        <v>140</v>
      </c>
    </row>
    <row r="362" spans="1:12" ht="47" thickBot="1" x14ac:dyDescent="0.35">
      <c r="A362" s="313"/>
      <c r="B362" s="206"/>
      <c r="C362" s="206"/>
      <c r="D362" s="198"/>
      <c r="E362" s="256">
        <v>0</v>
      </c>
      <c r="F362" s="256">
        <v>0</v>
      </c>
      <c r="G362" s="256">
        <v>0</v>
      </c>
      <c r="H362" s="4" t="s">
        <v>883</v>
      </c>
      <c r="I362" s="6" t="s">
        <v>31</v>
      </c>
      <c r="J362" s="6" t="s">
        <v>142</v>
      </c>
      <c r="K362" s="6" t="s">
        <v>142</v>
      </c>
      <c r="L362" s="32" t="s">
        <v>142</v>
      </c>
    </row>
    <row r="363" spans="1:12" ht="32.25" customHeight="1" thickBot="1" x14ac:dyDescent="0.35">
      <c r="A363" s="21" t="s">
        <v>884</v>
      </c>
      <c r="B363" s="185" t="s">
        <v>885</v>
      </c>
      <c r="C363" s="186"/>
      <c r="D363" s="187"/>
      <c r="E363" s="39">
        <f t="shared" ref="E363:G363" si="41">SUM(E364:E365)</f>
        <v>33750</v>
      </c>
      <c r="F363" s="39">
        <f t="shared" si="41"/>
        <v>33750</v>
      </c>
      <c r="G363" s="39">
        <f t="shared" si="41"/>
        <v>33750</v>
      </c>
      <c r="H363" s="191"/>
      <c r="I363" s="192"/>
      <c r="J363" s="192"/>
      <c r="K363" s="192"/>
      <c r="L363" s="193"/>
    </row>
    <row r="364" spans="1:12" ht="62.5" thickBot="1" x14ac:dyDescent="0.35">
      <c r="A364" s="110" t="s">
        <v>886</v>
      </c>
      <c r="B364" s="96" t="s">
        <v>887</v>
      </c>
      <c r="C364" s="96" t="s">
        <v>851</v>
      </c>
      <c r="D364" s="101" t="s">
        <v>26</v>
      </c>
      <c r="E364" s="108">
        <v>21000</v>
      </c>
      <c r="F364" s="108">
        <v>21000</v>
      </c>
      <c r="G364" s="108">
        <v>21000</v>
      </c>
      <c r="H364" s="96" t="s">
        <v>888</v>
      </c>
      <c r="I364" s="101" t="s">
        <v>31</v>
      </c>
      <c r="J364" s="101" t="s">
        <v>32</v>
      </c>
      <c r="K364" s="101" t="s">
        <v>32</v>
      </c>
      <c r="L364" s="105" t="s">
        <v>32</v>
      </c>
    </row>
    <row r="365" spans="1:12" ht="46.5" x14ac:dyDescent="0.3">
      <c r="A365" s="304" t="s">
        <v>889</v>
      </c>
      <c r="B365" s="227" t="s">
        <v>890</v>
      </c>
      <c r="C365" s="227" t="s">
        <v>851</v>
      </c>
      <c r="D365" s="257" t="s">
        <v>26</v>
      </c>
      <c r="E365" s="324">
        <f t="shared" ref="E365:G365" si="42">SUM(E366:E368)+12750</f>
        <v>12750</v>
      </c>
      <c r="F365" s="324">
        <f t="shared" si="42"/>
        <v>12750</v>
      </c>
      <c r="G365" s="324">
        <f t="shared" si="42"/>
        <v>12750</v>
      </c>
      <c r="H365" s="57" t="s">
        <v>891</v>
      </c>
      <c r="I365" s="9" t="s">
        <v>31</v>
      </c>
      <c r="J365" s="9" t="s">
        <v>47</v>
      </c>
      <c r="K365" s="9" t="s">
        <v>47</v>
      </c>
      <c r="L365" s="58" t="s">
        <v>47</v>
      </c>
    </row>
    <row r="366" spans="1:12" ht="31" x14ac:dyDescent="0.3">
      <c r="A366" s="305"/>
      <c r="B366" s="205"/>
      <c r="C366" s="205"/>
      <c r="D366" s="197"/>
      <c r="E366" s="317">
        <v>0</v>
      </c>
      <c r="F366" s="317">
        <v>0</v>
      </c>
      <c r="G366" s="317">
        <v>0</v>
      </c>
      <c r="H366" s="4" t="s">
        <v>892</v>
      </c>
      <c r="I366" s="6" t="s">
        <v>31</v>
      </c>
      <c r="J366" s="6" t="s">
        <v>519</v>
      </c>
      <c r="K366" s="6" t="s">
        <v>519</v>
      </c>
      <c r="L366" s="67" t="s">
        <v>519</v>
      </c>
    </row>
    <row r="367" spans="1:12" ht="34" customHeight="1" x14ac:dyDescent="0.3">
      <c r="A367" s="305"/>
      <c r="B367" s="205"/>
      <c r="C367" s="205"/>
      <c r="D367" s="197"/>
      <c r="E367" s="317">
        <v>0</v>
      </c>
      <c r="F367" s="317">
        <v>0</v>
      </c>
      <c r="G367" s="317">
        <v>0</v>
      </c>
      <c r="H367" s="4" t="s">
        <v>893</v>
      </c>
      <c r="I367" s="6" t="s">
        <v>31</v>
      </c>
      <c r="J367" s="6" t="s">
        <v>864</v>
      </c>
      <c r="K367" s="6" t="s">
        <v>864</v>
      </c>
      <c r="L367" s="67" t="s">
        <v>864</v>
      </c>
    </row>
    <row r="368" spans="1:12" ht="47" thickBot="1" x14ac:dyDescent="0.35">
      <c r="A368" s="306"/>
      <c r="B368" s="228"/>
      <c r="C368" s="228"/>
      <c r="D368" s="307"/>
      <c r="E368" s="325">
        <v>0</v>
      </c>
      <c r="F368" s="325">
        <v>0</v>
      </c>
      <c r="G368" s="325">
        <v>0</v>
      </c>
      <c r="H368" s="59" t="s">
        <v>894</v>
      </c>
      <c r="I368" s="10" t="s">
        <v>31</v>
      </c>
      <c r="J368" s="10" t="s">
        <v>699</v>
      </c>
      <c r="K368" s="10" t="s">
        <v>699</v>
      </c>
      <c r="L368" s="60" t="s">
        <v>699</v>
      </c>
    </row>
    <row r="369" spans="1:12" ht="48" customHeight="1" thickBot="1" x14ac:dyDescent="0.35">
      <c r="A369" s="24" t="s">
        <v>895</v>
      </c>
      <c r="B369" s="221" t="s">
        <v>896</v>
      </c>
      <c r="C369" s="222"/>
      <c r="D369" s="223"/>
      <c r="E369" s="158">
        <f t="shared" ref="E369:G369" si="43">SUM(E370:E370)</f>
        <v>200000</v>
      </c>
      <c r="F369" s="158">
        <f t="shared" si="43"/>
        <v>200000</v>
      </c>
      <c r="G369" s="158">
        <f t="shared" si="43"/>
        <v>200000</v>
      </c>
      <c r="H369" s="224"/>
      <c r="I369" s="225"/>
      <c r="J369" s="225"/>
      <c r="K369" s="225"/>
      <c r="L369" s="226"/>
    </row>
    <row r="370" spans="1:12" ht="15.5" x14ac:dyDescent="0.3">
      <c r="A370" s="302" t="s">
        <v>897</v>
      </c>
      <c r="B370" s="229" t="s">
        <v>898</v>
      </c>
      <c r="C370" s="229" t="s">
        <v>223</v>
      </c>
      <c r="D370" s="243" t="s">
        <v>270</v>
      </c>
      <c r="E370" s="255">
        <v>200000</v>
      </c>
      <c r="F370" s="255">
        <v>200000</v>
      </c>
      <c r="G370" s="255">
        <v>200000</v>
      </c>
      <c r="H370" s="3" t="s">
        <v>899</v>
      </c>
      <c r="I370" s="5" t="s">
        <v>653</v>
      </c>
      <c r="J370" s="5" t="s">
        <v>900</v>
      </c>
      <c r="K370" s="5" t="s">
        <v>711</v>
      </c>
      <c r="L370" s="31" t="s">
        <v>900</v>
      </c>
    </row>
    <row r="371" spans="1:12" ht="31.5" thickBot="1" x14ac:dyDescent="0.35">
      <c r="A371" s="313"/>
      <c r="B371" s="206"/>
      <c r="C371" s="206"/>
      <c r="D371" s="198"/>
      <c r="E371" s="256"/>
      <c r="F371" s="256"/>
      <c r="G371" s="256"/>
      <c r="H371" s="4" t="s">
        <v>901</v>
      </c>
      <c r="I371" s="6" t="s">
        <v>28</v>
      </c>
      <c r="J371" s="6" t="s">
        <v>29</v>
      </c>
      <c r="K371" s="6" t="s">
        <v>29</v>
      </c>
      <c r="L371" s="32" t="s">
        <v>29</v>
      </c>
    </row>
    <row r="372" spans="1:12" ht="32.25" customHeight="1" thickBot="1" x14ac:dyDescent="0.35">
      <c r="A372" s="21" t="s">
        <v>902</v>
      </c>
      <c r="B372" s="185" t="s">
        <v>903</v>
      </c>
      <c r="C372" s="186"/>
      <c r="D372" s="187"/>
      <c r="E372" s="43">
        <v>0</v>
      </c>
      <c r="F372" s="43">
        <v>0</v>
      </c>
      <c r="G372" s="43">
        <v>0</v>
      </c>
      <c r="H372" s="191"/>
      <c r="I372" s="192"/>
      <c r="J372" s="192"/>
      <c r="K372" s="192"/>
      <c r="L372" s="193"/>
    </row>
    <row r="373" spans="1:12" ht="48" customHeight="1" thickBot="1" x14ac:dyDescent="0.35">
      <c r="A373" s="21" t="s">
        <v>904</v>
      </c>
      <c r="B373" s="185" t="s">
        <v>905</v>
      </c>
      <c r="C373" s="186"/>
      <c r="D373" s="187"/>
      <c r="E373" s="39">
        <f>E374+E376+E377+E378+E382+E384+E385</f>
        <v>10524709</v>
      </c>
      <c r="F373" s="39">
        <f>F374+F376+F377+F378+F382+F384+F385</f>
        <v>11435000</v>
      </c>
      <c r="G373" s="39">
        <f>G374+G376+G377+G378+G382+G384+G385</f>
        <v>7385000</v>
      </c>
      <c r="H373" s="191"/>
      <c r="I373" s="192"/>
      <c r="J373" s="192"/>
      <c r="K373" s="192"/>
      <c r="L373" s="193"/>
    </row>
    <row r="374" spans="1:12" ht="31" x14ac:dyDescent="0.3">
      <c r="A374" s="302" t="s">
        <v>906</v>
      </c>
      <c r="B374" s="229" t="s">
        <v>907</v>
      </c>
      <c r="C374" s="229" t="s">
        <v>223</v>
      </c>
      <c r="D374" s="243" t="s">
        <v>26</v>
      </c>
      <c r="E374" s="255">
        <f>SUM(E375:E375)+910200</f>
        <v>910200</v>
      </c>
      <c r="F374" s="255">
        <f>SUM(F375:F375)+3900000</f>
        <v>3900000</v>
      </c>
      <c r="G374" s="255"/>
      <c r="H374" s="3" t="s">
        <v>908</v>
      </c>
      <c r="I374" s="5" t="s">
        <v>653</v>
      </c>
      <c r="J374" s="5" t="s">
        <v>733</v>
      </c>
      <c r="K374" s="5" t="s">
        <v>909</v>
      </c>
      <c r="L374" s="31" t="s">
        <v>48</v>
      </c>
    </row>
    <row r="375" spans="1:12" ht="31.5" thickBot="1" x14ac:dyDescent="0.35">
      <c r="A375" s="313"/>
      <c r="B375" s="206"/>
      <c r="C375" s="206"/>
      <c r="D375" s="198"/>
      <c r="E375" s="256">
        <v>0</v>
      </c>
      <c r="F375" s="256">
        <v>0</v>
      </c>
      <c r="G375" s="256"/>
      <c r="H375" s="4" t="s">
        <v>301</v>
      </c>
      <c r="I375" s="6" t="s">
        <v>28</v>
      </c>
      <c r="J375" s="6" t="s">
        <v>712</v>
      </c>
      <c r="K375" s="6" t="s">
        <v>163</v>
      </c>
      <c r="L375" s="32" t="s">
        <v>48</v>
      </c>
    </row>
    <row r="376" spans="1:12" ht="47" thickBot="1" x14ac:dyDescent="0.35">
      <c r="A376" s="22" t="s">
        <v>910</v>
      </c>
      <c r="B376" s="3" t="s">
        <v>911</v>
      </c>
      <c r="C376" s="3" t="s">
        <v>223</v>
      </c>
      <c r="D376" s="5" t="s">
        <v>26</v>
      </c>
      <c r="E376" s="42">
        <v>333700</v>
      </c>
      <c r="F376" s="42"/>
      <c r="G376" s="42"/>
      <c r="H376" s="3" t="s">
        <v>912</v>
      </c>
      <c r="I376" s="5" t="s">
        <v>31</v>
      </c>
      <c r="J376" s="5" t="s">
        <v>47</v>
      </c>
      <c r="K376" s="5" t="s">
        <v>48</v>
      </c>
      <c r="L376" s="31" t="s">
        <v>48</v>
      </c>
    </row>
    <row r="377" spans="1:12" ht="78.75" customHeight="1" thickBot="1" x14ac:dyDescent="0.35">
      <c r="A377" s="23" t="s">
        <v>913</v>
      </c>
      <c r="B377" s="27" t="s">
        <v>914</v>
      </c>
      <c r="C377" s="27" t="s">
        <v>72</v>
      </c>
      <c r="D377" s="7"/>
      <c r="E377" s="41"/>
      <c r="F377" s="41"/>
      <c r="G377" s="41"/>
      <c r="H377" s="3" t="s">
        <v>301</v>
      </c>
      <c r="I377" s="5" t="s">
        <v>28</v>
      </c>
      <c r="J377" s="5" t="s">
        <v>89</v>
      </c>
      <c r="K377" s="5" t="s">
        <v>48</v>
      </c>
      <c r="L377" s="31" t="s">
        <v>48</v>
      </c>
    </row>
    <row r="378" spans="1:12" ht="46.5" x14ac:dyDescent="0.3">
      <c r="A378" s="302" t="s">
        <v>915</v>
      </c>
      <c r="B378" s="229" t="s">
        <v>916</v>
      </c>
      <c r="C378" s="229" t="s">
        <v>223</v>
      </c>
      <c r="D378" s="243" t="s">
        <v>26</v>
      </c>
      <c r="E378" s="255">
        <f>SUM(E379:E381)+7065809</f>
        <v>7065809</v>
      </c>
      <c r="F378" s="255">
        <f>SUM(F379:F381)+7000000</f>
        <v>7000000</v>
      </c>
      <c r="G378" s="255">
        <f>SUM(G379:G381)+7000000</f>
        <v>7000000</v>
      </c>
      <c r="H378" s="3" t="s">
        <v>917</v>
      </c>
      <c r="I378" s="5" t="s">
        <v>28</v>
      </c>
      <c r="J378" s="5" t="s">
        <v>167</v>
      </c>
      <c r="K378" s="5" t="s">
        <v>167</v>
      </c>
      <c r="L378" s="31" t="s">
        <v>240</v>
      </c>
    </row>
    <row r="379" spans="1:12" ht="31" x14ac:dyDescent="0.3">
      <c r="A379" s="303"/>
      <c r="B379" s="205"/>
      <c r="C379" s="205"/>
      <c r="D379" s="197"/>
      <c r="E379" s="317">
        <v>0</v>
      </c>
      <c r="F379" s="317">
        <v>0</v>
      </c>
      <c r="G379" s="317">
        <v>0</v>
      </c>
      <c r="H379" s="4" t="s">
        <v>918</v>
      </c>
      <c r="I379" s="6" t="s">
        <v>653</v>
      </c>
      <c r="J379" s="6" t="s">
        <v>919</v>
      </c>
      <c r="K379" s="6" t="s">
        <v>919</v>
      </c>
      <c r="L379" s="32" t="s">
        <v>919</v>
      </c>
    </row>
    <row r="380" spans="1:12" ht="15.5" x14ac:dyDescent="0.3">
      <c r="A380" s="303"/>
      <c r="B380" s="205"/>
      <c r="C380" s="205"/>
      <c r="D380" s="197"/>
      <c r="E380" s="317">
        <v>0</v>
      </c>
      <c r="F380" s="317">
        <v>0</v>
      </c>
      <c r="G380" s="317">
        <v>0</v>
      </c>
      <c r="H380" s="4" t="s">
        <v>920</v>
      </c>
      <c r="I380" s="6" t="s">
        <v>653</v>
      </c>
      <c r="J380" s="6" t="s">
        <v>921</v>
      </c>
      <c r="K380" s="6" t="s">
        <v>921</v>
      </c>
      <c r="L380" s="32" t="s">
        <v>921</v>
      </c>
    </row>
    <row r="381" spans="1:12" ht="29.5" customHeight="1" thickBot="1" x14ac:dyDescent="0.35">
      <c r="A381" s="313"/>
      <c r="B381" s="206"/>
      <c r="C381" s="206"/>
      <c r="D381" s="198"/>
      <c r="E381" s="256">
        <v>0</v>
      </c>
      <c r="F381" s="256">
        <v>0</v>
      </c>
      <c r="G381" s="256">
        <v>0</v>
      </c>
      <c r="H381" s="4" t="s">
        <v>922</v>
      </c>
      <c r="I381" s="6" t="s">
        <v>653</v>
      </c>
      <c r="J381" s="6" t="s">
        <v>923</v>
      </c>
      <c r="K381" s="6" t="s">
        <v>923</v>
      </c>
      <c r="L381" s="32" t="s">
        <v>923</v>
      </c>
    </row>
    <row r="382" spans="1:12" ht="27.75" customHeight="1" x14ac:dyDescent="0.3">
      <c r="A382" s="302" t="s">
        <v>924</v>
      </c>
      <c r="B382" s="229" t="s">
        <v>925</v>
      </c>
      <c r="C382" s="229" t="s">
        <v>223</v>
      </c>
      <c r="D382" s="243" t="s">
        <v>26</v>
      </c>
      <c r="E382" s="255">
        <f t="shared" ref="E382:G382" si="44">SUM(E383:E383)+300000</f>
        <v>300000</v>
      </c>
      <c r="F382" s="255">
        <f t="shared" si="44"/>
        <v>300000</v>
      </c>
      <c r="G382" s="255">
        <f t="shared" si="44"/>
        <v>300000</v>
      </c>
      <c r="H382" s="3" t="s">
        <v>926</v>
      </c>
      <c r="I382" s="5" t="s">
        <v>31</v>
      </c>
      <c r="J382" s="5" t="s">
        <v>506</v>
      </c>
      <c r="K382" s="5" t="s">
        <v>712</v>
      </c>
      <c r="L382" s="31" t="s">
        <v>927</v>
      </c>
    </row>
    <row r="383" spans="1:12" ht="51" customHeight="1" thickBot="1" x14ac:dyDescent="0.35">
      <c r="A383" s="313"/>
      <c r="B383" s="206"/>
      <c r="C383" s="206"/>
      <c r="D383" s="198"/>
      <c r="E383" s="256">
        <v>0</v>
      </c>
      <c r="F383" s="256">
        <v>0</v>
      </c>
      <c r="G383" s="256">
        <v>0</v>
      </c>
      <c r="H383" s="4" t="s">
        <v>928</v>
      </c>
      <c r="I383" s="6" t="s">
        <v>50</v>
      </c>
      <c r="J383" s="6" t="s">
        <v>699</v>
      </c>
      <c r="K383" s="6" t="s">
        <v>699</v>
      </c>
      <c r="L383" s="32" t="s">
        <v>699</v>
      </c>
    </row>
    <row r="384" spans="1:12" ht="93.5" thickBot="1" x14ac:dyDescent="0.35">
      <c r="A384" s="110" t="s">
        <v>929</v>
      </c>
      <c r="B384" s="96" t="s">
        <v>930</v>
      </c>
      <c r="C384" s="96" t="s">
        <v>197</v>
      </c>
      <c r="D384" s="101" t="s">
        <v>26</v>
      </c>
      <c r="E384" s="108">
        <v>1800000</v>
      </c>
      <c r="F384" s="108"/>
      <c r="G384" s="108"/>
      <c r="H384" s="96" t="s">
        <v>931</v>
      </c>
      <c r="I384" s="101" t="s">
        <v>31</v>
      </c>
      <c r="J384" s="101" t="s">
        <v>47</v>
      </c>
      <c r="K384" s="101" t="s">
        <v>48</v>
      </c>
      <c r="L384" s="105" t="s">
        <v>48</v>
      </c>
    </row>
    <row r="385" spans="1:12" ht="31" x14ac:dyDescent="0.3">
      <c r="A385" s="304" t="s">
        <v>932</v>
      </c>
      <c r="B385" s="227" t="s">
        <v>933</v>
      </c>
      <c r="C385" s="227" t="s">
        <v>223</v>
      </c>
      <c r="D385" s="257" t="s">
        <v>26</v>
      </c>
      <c r="E385" s="324">
        <f>SUM(E386:E387)+115000</f>
        <v>115000</v>
      </c>
      <c r="F385" s="324">
        <f>SUM(F386:F387)+235000</f>
        <v>235000</v>
      </c>
      <c r="G385" s="324">
        <f>SUM(G386:G387)+85000</f>
        <v>85000</v>
      </c>
      <c r="H385" s="57" t="s">
        <v>934</v>
      </c>
      <c r="I385" s="9" t="s">
        <v>31</v>
      </c>
      <c r="J385" s="9" t="s">
        <v>58</v>
      </c>
      <c r="K385" s="9" t="s">
        <v>58</v>
      </c>
      <c r="L385" s="58" t="s">
        <v>58</v>
      </c>
    </row>
    <row r="386" spans="1:12" ht="15.5" x14ac:dyDescent="0.3">
      <c r="A386" s="305"/>
      <c r="B386" s="205"/>
      <c r="C386" s="205"/>
      <c r="D386" s="197"/>
      <c r="E386" s="317">
        <v>0</v>
      </c>
      <c r="F386" s="317">
        <v>0</v>
      </c>
      <c r="G386" s="317">
        <v>0</v>
      </c>
      <c r="H386" s="4" t="s">
        <v>926</v>
      </c>
      <c r="I386" s="6" t="s">
        <v>31</v>
      </c>
      <c r="J386" s="6" t="s">
        <v>60</v>
      </c>
      <c r="K386" s="6" t="s">
        <v>255</v>
      </c>
      <c r="L386" s="67" t="s">
        <v>255</v>
      </c>
    </row>
    <row r="387" spans="1:12" ht="16" thickBot="1" x14ac:dyDescent="0.35">
      <c r="A387" s="306"/>
      <c r="B387" s="228"/>
      <c r="C387" s="228"/>
      <c r="D387" s="307"/>
      <c r="E387" s="325">
        <v>0</v>
      </c>
      <c r="F387" s="325">
        <v>0</v>
      </c>
      <c r="G387" s="325">
        <v>0</v>
      </c>
      <c r="H387" s="59" t="s">
        <v>935</v>
      </c>
      <c r="I387" s="10" t="s">
        <v>31</v>
      </c>
      <c r="J387" s="10" t="s">
        <v>48</v>
      </c>
      <c r="K387" s="10" t="s">
        <v>203</v>
      </c>
      <c r="L387" s="60" t="s">
        <v>48</v>
      </c>
    </row>
    <row r="388" spans="1:12" ht="35.5" customHeight="1" thickBot="1" x14ac:dyDescent="0.35">
      <c r="A388" s="156" t="s">
        <v>936</v>
      </c>
      <c r="B388" s="236" t="s">
        <v>937</v>
      </c>
      <c r="C388" s="237"/>
      <c r="D388" s="238"/>
      <c r="E388" s="157">
        <f t="shared" ref="E388:G388" si="45">E389+E391+E401+E415</f>
        <v>9927251.0500000007</v>
      </c>
      <c r="F388" s="157">
        <f t="shared" si="45"/>
        <v>4948532</v>
      </c>
      <c r="G388" s="157">
        <f t="shared" si="45"/>
        <v>7348532</v>
      </c>
      <c r="H388" s="239"/>
      <c r="I388" s="240"/>
      <c r="J388" s="240"/>
      <c r="K388" s="240"/>
      <c r="L388" s="241"/>
    </row>
    <row r="389" spans="1:12" ht="52.5" customHeight="1" thickBot="1" x14ac:dyDescent="0.35">
      <c r="A389" s="21" t="s">
        <v>938</v>
      </c>
      <c r="B389" s="185" t="s">
        <v>939</v>
      </c>
      <c r="C389" s="186"/>
      <c r="D389" s="187"/>
      <c r="E389" s="39">
        <f t="shared" ref="E389:G389" si="46">SUM(E390:E390)</f>
        <v>21600</v>
      </c>
      <c r="F389" s="39">
        <f t="shared" si="46"/>
        <v>21600</v>
      </c>
      <c r="G389" s="39">
        <f t="shared" si="46"/>
        <v>21600</v>
      </c>
      <c r="H389" s="191"/>
      <c r="I389" s="192"/>
      <c r="J389" s="192"/>
      <c r="K389" s="192"/>
      <c r="L389" s="193"/>
    </row>
    <row r="390" spans="1:12" ht="66" customHeight="1" thickBot="1" x14ac:dyDescent="0.35">
      <c r="A390" s="22" t="s">
        <v>940</v>
      </c>
      <c r="B390" s="3" t="s">
        <v>941</v>
      </c>
      <c r="C390" s="3" t="s">
        <v>851</v>
      </c>
      <c r="D390" s="5" t="s">
        <v>26</v>
      </c>
      <c r="E390" s="42">
        <v>21600</v>
      </c>
      <c r="F390" s="42">
        <v>21600</v>
      </c>
      <c r="G390" s="42">
        <v>21600</v>
      </c>
      <c r="H390" s="3" t="s">
        <v>942</v>
      </c>
      <c r="I390" s="5" t="s">
        <v>31</v>
      </c>
      <c r="J390" s="5" t="s">
        <v>203</v>
      </c>
      <c r="K390" s="5" t="s">
        <v>47</v>
      </c>
      <c r="L390" s="31" t="s">
        <v>47</v>
      </c>
    </row>
    <row r="391" spans="1:12" ht="37" customHeight="1" thickBot="1" x14ac:dyDescent="0.35">
      <c r="A391" s="21" t="s">
        <v>943</v>
      </c>
      <c r="B391" s="185" t="s">
        <v>944</v>
      </c>
      <c r="C391" s="186"/>
      <c r="D391" s="187"/>
      <c r="E391" s="39">
        <f t="shared" ref="E391:G391" si="47">E392+E394+E396+E399</f>
        <v>850000</v>
      </c>
      <c r="F391" s="39">
        <f t="shared" si="47"/>
        <v>250000</v>
      </c>
      <c r="G391" s="39">
        <f t="shared" si="47"/>
        <v>250000</v>
      </c>
      <c r="H391" s="191"/>
      <c r="I391" s="192"/>
      <c r="J391" s="192"/>
      <c r="K391" s="192"/>
      <c r="L391" s="193"/>
    </row>
    <row r="392" spans="1:12" ht="39.75" customHeight="1" x14ac:dyDescent="0.3">
      <c r="A392" s="302" t="s">
        <v>945</v>
      </c>
      <c r="B392" s="229" t="s">
        <v>946</v>
      </c>
      <c r="C392" s="229" t="s">
        <v>72</v>
      </c>
      <c r="D392" s="243"/>
      <c r="E392" s="255"/>
      <c r="F392" s="255"/>
      <c r="G392" s="255"/>
      <c r="H392" s="3" t="s">
        <v>301</v>
      </c>
      <c r="I392" s="5" t="s">
        <v>28</v>
      </c>
      <c r="J392" s="5" t="s">
        <v>226</v>
      </c>
      <c r="K392" s="5" t="s">
        <v>48</v>
      </c>
      <c r="L392" s="31" t="s">
        <v>48</v>
      </c>
    </row>
    <row r="393" spans="1:12" ht="41.15" customHeight="1" thickBot="1" x14ac:dyDescent="0.35">
      <c r="A393" s="313"/>
      <c r="B393" s="206"/>
      <c r="C393" s="206"/>
      <c r="D393" s="198"/>
      <c r="E393" s="256"/>
      <c r="F393" s="256"/>
      <c r="G393" s="256"/>
      <c r="H393" s="4" t="s">
        <v>947</v>
      </c>
      <c r="I393" s="6" t="s">
        <v>948</v>
      </c>
      <c r="J393" s="6" t="s">
        <v>949</v>
      </c>
      <c r="K393" s="6" t="s">
        <v>48</v>
      </c>
      <c r="L393" s="32" t="s">
        <v>48</v>
      </c>
    </row>
    <row r="394" spans="1:12" ht="46.5" x14ac:dyDescent="0.3">
      <c r="A394" s="302" t="s">
        <v>950</v>
      </c>
      <c r="B394" s="229" t="s">
        <v>951</v>
      </c>
      <c r="C394" s="229" t="s">
        <v>223</v>
      </c>
      <c r="D394" s="243" t="s">
        <v>26</v>
      </c>
      <c r="E394" s="255">
        <f t="shared" ref="E394:G394" si="48">SUM(E395:E395)+250000</f>
        <v>250000</v>
      </c>
      <c r="F394" s="255">
        <f t="shared" si="48"/>
        <v>250000</v>
      </c>
      <c r="G394" s="255">
        <f t="shared" si="48"/>
        <v>250000</v>
      </c>
      <c r="H394" s="3" t="s">
        <v>952</v>
      </c>
      <c r="I394" s="5" t="s">
        <v>28</v>
      </c>
      <c r="J394" s="5" t="s">
        <v>29</v>
      </c>
      <c r="K394" s="5" t="s">
        <v>29</v>
      </c>
      <c r="L394" s="31" t="s">
        <v>29</v>
      </c>
    </row>
    <row r="395" spans="1:12" ht="47" thickBot="1" x14ac:dyDescent="0.35">
      <c r="A395" s="313"/>
      <c r="B395" s="206"/>
      <c r="C395" s="206"/>
      <c r="D395" s="198"/>
      <c r="E395" s="256">
        <v>0</v>
      </c>
      <c r="F395" s="256">
        <v>0</v>
      </c>
      <c r="G395" s="256">
        <v>0</v>
      </c>
      <c r="H395" s="4" t="s">
        <v>953</v>
      </c>
      <c r="I395" s="6" t="s">
        <v>31</v>
      </c>
      <c r="J395" s="6" t="s">
        <v>75</v>
      </c>
      <c r="K395" s="6" t="s">
        <v>75</v>
      </c>
      <c r="L395" s="32" t="s">
        <v>75</v>
      </c>
    </row>
    <row r="396" spans="1:12" ht="49" customHeight="1" x14ac:dyDescent="0.3">
      <c r="A396" s="302" t="s">
        <v>954</v>
      </c>
      <c r="B396" s="229" t="s">
        <v>955</v>
      </c>
      <c r="C396" s="229" t="s">
        <v>223</v>
      </c>
      <c r="D396" s="5" t="s">
        <v>268</v>
      </c>
      <c r="E396" s="44">
        <f t="shared" ref="E396" si="49">SUM(E397:E398)</f>
        <v>600000</v>
      </c>
      <c r="F396" s="44"/>
      <c r="G396" s="44"/>
      <c r="H396" s="229" t="s">
        <v>956</v>
      </c>
      <c r="I396" s="243" t="s">
        <v>31</v>
      </c>
      <c r="J396" s="243" t="s">
        <v>957</v>
      </c>
      <c r="K396" s="243" t="s">
        <v>48</v>
      </c>
      <c r="L396" s="244" t="s">
        <v>48</v>
      </c>
    </row>
    <row r="397" spans="1:12" ht="53.25" customHeight="1" x14ac:dyDescent="0.3">
      <c r="A397" s="303"/>
      <c r="B397" s="205"/>
      <c r="C397" s="205"/>
      <c r="D397" s="6" t="s">
        <v>26</v>
      </c>
      <c r="E397" s="40">
        <v>14568.4</v>
      </c>
      <c r="F397" s="40"/>
      <c r="G397" s="40"/>
      <c r="H397" s="205"/>
      <c r="I397" s="197"/>
      <c r="J397" s="197"/>
      <c r="K397" s="197"/>
      <c r="L397" s="270"/>
    </row>
    <row r="398" spans="1:12" ht="58" customHeight="1" thickBot="1" x14ac:dyDescent="0.35">
      <c r="A398" s="313"/>
      <c r="B398" s="206"/>
      <c r="C398" s="206"/>
      <c r="D398" s="6" t="s">
        <v>270</v>
      </c>
      <c r="E398" s="40">
        <v>585431.6</v>
      </c>
      <c r="F398" s="40"/>
      <c r="G398" s="40"/>
      <c r="H398" s="206"/>
      <c r="I398" s="198"/>
      <c r="J398" s="198"/>
      <c r="K398" s="198"/>
      <c r="L398" s="251"/>
    </row>
    <row r="399" spans="1:12" ht="43" customHeight="1" x14ac:dyDescent="0.3">
      <c r="A399" s="302" t="s">
        <v>958</v>
      </c>
      <c r="B399" s="229" t="s">
        <v>959</v>
      </c>
      <c r="C399" s="229" t="s">
        <v>72</v>
      </c>
      <c r="D399" s="243"/>
      <c r="E399" s="255"/>
      <c r="F399" s="255"/>
      <c r="G399" s="255"/>
      <c r="H399" s="3" t="s">
        <v>301</v>
      </c>
      <c r="I399" s="5" t="s">
        <v>28</v>
      </c>
      <c r="J399" s="5" t="s">
        <v>133</v>
      </c>
      <c r="K399" s="5" t="s">
        <v>48</v>
      </c>
      <c r="L399" s="31" t="s">
        <v>48</v>
      </c>
    </row>
    <row r="400" spans="1:12" ht="90" customHeight="1" thickBot="1" x14ac:dyDescent="0.35">
      <c r="A400" s="303"/>
      <c r="B400" s="205"/>
      <c r="C400" s="205"/>
      <c r="D400" s="197"/>
      <c r="E400" s="317"/>
      <c r="F400" s="317"/>
      <c r="G400" s="317"/>
      <c r="H400" s="107" t="s">
        <v>960</v>
      </c>
      <c r="I400" s="97" t="s">
        <v>961</v>
      </c>
      <c r="J400" s="97" t="s">
        <v>962</v>
      </c>
      <c r="K400" s="97" t="s">
        <v>48</v>
      </c>
      <c r="L400" s="109" t="s">
        <v>48</v>
      </c>
    </row>
    <row r="401" spans="1:12" ht="32.25" customHeight="1" thickBot="1" x14ac:dyDescent="0.35">
      <c r="A401" s="170" t="s">
        <v>963</v>
      </c>
      <c r="B401" s="199" t="s">
        <v>964</v>
      </c>
      <c r="C401" s="200"/>
      <c r="D401" s="201"/>
      <c r="E401" s="171">
        <f t="shared" ref="E401:G401" si="50">E402+E405+E409+E410+E414</f>
        <v>4793482</v>
      </c>
      <c r="F401" s="171">
        <f t="shared" si="50"/>
        <v>1850000</v>
      </c>
      <c r="G401" s="171">
        <f t="shared" si="50"/>
        <v>4250000</v>
      </c>
      <c r="H401" s="202"/>
      <c r="I401" s="203"/>
      <c r="J401" s="203"/>
      <c r="K401" s="203"/>
      <c r="L401" s="204"/>
    </row>
    <row r="402" spans="1:12" ht="31" x14ac:dyDescent="0.3">
      <c r="A402" s="303" t="s">
        <v>965</v>
      </c>
      <c r="B402" s="205" t="s">
        <v>966</v>
      </c>
      <c r="C402" s="205" t="s">
        <v>223</v>
      </c>
      <c r="D402" s="197" t="s">
        <v>26</v>
      </c>
      <c r="E402" s="317">
        <f>SUM(E403:E404)+1198000</f>
        <v>1198000</v>
      </c>
      <c r="F402" s="317">
        <f>SUM(F403:F404)+1150000</f>
        <v>1150000</v>
      </c>
      <c r="G402" s="317">
        <f>SUM(G403:G404)+1150000</f>
        <v>1150000</v>
      </c>
      <c r="H402" s="104" t="s">
        <v>934</v>
      </c>
      <c r="I402" s="98" t="s">
        <v>31</v>
      </c>
      <c r="J402" s="98" t="s">
        <v>75</v>
      </c>
      <c r="K402" s="98" t="s">
        <v>75</v>
      </c>
      <c r="L402" s="106" t="s">
        <v>75</v>
      </c>
    </row>
    <row r="403" spans="1:12" ht="15.5" x14ac:dyDescent="0.3">
      <c r="A403" s="303"/>
      <c r="B403" s="205"/>
      <c r="C403" s="205"/>
      <c r="D403" s="197"/>
      <c r="E403" s="317">
        <v>0</v>
      </c>
      <c r="F403" s="317">
        <v>0</v>
      </c>
      <c r="G403" s="317">
        <v>0</v>
      </c>
      <c r="H403" s="4" t="s">
        <v>967</v>
      </c>
      <c r="I403" s="6" t="s">
        <v>653</v>
      </c>
      <c r="J403" s="6" t="s">
        <v>968</v>
      </c>
      <c r="K403" s="6" t="s">
        <v>968</v>
      </c>
      <c r="L403" s="32" t="s">
        <v>968</v>
      </c>
    </row>
    <row r="404" spans="1:12" ht="62.5" thickBot="1" x14ac:dyDescent="0.35">
      <c r="A404" s="313"/>
      <c r="B404" s="206"/>
      <c r="C404" s="206"/>
      <c r="D404" s="198"/>
      <c r="E404" s="256">
        <v>0</v>
      </c>
      <c r="F404" s="256">
        <v>0</v>
      </c>
      <c r="G404" s="256">
        <v>0</v>
      </c>
      <c r="H404" s="4" t="s">
        <v>969</v>
      </c>
      <c r="I404" s="6" t="s">
        <v>28</v>
      </c>
      <c r="J404" s="6" t="s">
        <v>29</v>
      </c>
      <c r="K404" s="6" t="s">
        <v>29</v>
      </c>
      <c r="L404" s="32" t="s">
        <v>29</v>
      </c>
    </row>
    <row r="405" spans="1:12" ht="26.25" customHeight="1" x14ac:dyDescent="0.3">
      <c r="A405" s="302" t="s">
        <v>970</v>
      </c>
      <c r="B405" s="229" t="s">
        <v>971</v>
      </c>
      <c r="C405" s="229" t="s">
        <v>72</v>
      </c>
      <c r="D405" s="5" t="s">
        <v>268</v>
      </c>
      <c r="E405" s="44">
        <f t="shared" ref="E405" si="51">SUM(E406:E408)</f>
        <v>2594242</v>
      </c>
      <c r="F405" s="44"/>
      <c r="G405" s="44"/>
      <c r="H405" s="229" t="s">
        <v>301</v>
      </c>
      <c r="I405" s="243" t="s">
        <v>28</v>
      </c>
      <c r="J405" s="243" t="s">
        <v>89</v>
      </c>
      <c r="K405" s="243" t="s">
        <v>48</v>
      </c>
      <c r="L405" s="244" t="s">
        <v>48</v>
      </c>
    </row>
    <row r="406" spans="1:12" ht="24" customHeight="1" x14ac:dyDescent="0.3">
      <c r="A406" s="303"/>
      <c r="B406" s="205"/>
      <c r="C406" s="205"/>
      <c r="D406" s="6" t="s">
        <v>972</v>
      </c>
      <c r="E406" s="40">
        <v>194568</v>
      </c>
      <c r="F406" s="40"/>
      <c r="G406" s="40"/>
      <c r="H406" s="242"/>
      <c r="I406" s="208"/>
      <c r="J406" s="208"/>
      <c r="K406" s="208"/>
      <c r="L406" s="245"/>
    </row>
    <row r="407" spans="1:12" ht="31.5" customHeight="1" x14ac:dyDescent="0.3">
      <c r="A407" s="303"/>
      <c r="B407" s="205"/>
      <c r="C407" s="205"/>
      <c r="D407" s="6" t="s">
        <v>418</v>
      </c>
      <c r="E407" s="40">
        <v>2205106</v>
      </c>
      <c r="F407" s="40"/>
      <c r="G407" s="40"/>
      <c r="H407" s="246" t="s">
        <v>973</v>
      </c>
      <c r="I407" s="207" t="s">
        <v>653</v>
      </c>
      <c r="J407" s="207" t="s">
        <v>974</v>
      </c>
      <c r="K407" s="207" t="s">
        <v>48</v>
      </c>
      <c r="L407" s="250" t="s">
        <v>48</v>
      </c>
    </row>
    <row r="408" spans="1:12" ht="16" thickBot="1" x14ac:dyDescent="0.35">
      <c r="A408" s="313"/>
      <c r="B408" s="206"/>
      <c r="C408" s="206"/>
      <c r="D408" s="6" t="s">
        <v>26</v>
      </c>
      <c r="E408" s="40">
        <v>194568</v>
      </c>
      <c r="F408" s="40"/>
      <c r="G408" s="40"/>
      <c r="H408" s="206"/>
      <c r="I408" s="198"/>
      <c r="J408" s="198"/>
      <c r="K408" s="198"/>
      <c r="L408" s="251"/>
    </row>
    <row r="409" spans="1:12" ht="47" thickBot="1" x14ac:dyDescent="0.35">
      <c r="A409" s="22" t="s">
        <v>975</v>
      </c>
      <c r="B409" s="3" t="s">
        <v>976</v>
      </c>
      <c r="C409" s="3" t="s">
        <v>223</v>
      </c>
      <c r="D409" s="5" t="s">
        <v>26</v>
      </c>
      <c r="E409" s="42">
        <v>200000</v>
      </c>
      <c r="F409" s="42">
        <v>200000</v>
      </c>
      <c r="G409" s="42">
        <v>200000</v>
      </c>
      <c r="H409" s="3" t="s">
        <v>926</v>
      </c>
      <c r="I409" s="5" t="s">
        <v>31</v>
      </c>
      <c r="J409" s="5" t="s">
        <v>60</v>
      </c>
      <c r="K409" s="5" t="s">
        <v>32</v>
      </c>
      <c r="L409" s="31" t="s">
        <v>60</v>
      </c>
    </row>
    <row r="410" spans="1:12" ht="31.5" customHeight="1" x14ac:dyDescent="0.3">
      <c r="A410" s="302" t="s">
        <v>977</v>
      </c>
      <c r="B410" s="229" t="s">
        <v>978</v>
      </c>
      <c r="C410" s="229" t="s">
        <v>72</v>
      </c>
      <c r="D410" s="5" t="s">
        <v>268</v>
      </c>
      <c r="E410" s="44">
        <f t="shared" ref="E410" si="52">SUM(E411:E413)</f>
        <v>701240</v>
      </c>
      <c r="F410" s="44"/>
      <c r="G410" s="44"/>
      <c r="H410" s="229" t="s">
        <v>301</v>
      </c>
      <c r="I410" s="243" t="s">
        <v>28</v>
      </c>
      <c r="J410" s="243" t="s">
        <v>355</v>
      </c>
      <c r="K410" s="243" t="s">
        <v>48</v>
      </c>
      <c r="L410" s="244" t="s">
        <v>48</v>
      </c>
    </row>
    <row r="411" spans="1:12" ht="23.25" customHeight="1" x14ac:dyDescent="0.3">
      <c r="A411" s="303"/>
      <c r="B411" s="205"/>
      <c r="C411" s="205"/>
      <c r="D411" s="6" t="s">
        <v>418</v>
      </c>
      <c r="E411" s="40">
        <v>284123</v>
      </c>
      <c r="F411" s="40"/>
      <c r="G411" s="40"/>
      <c r="H411" s="242"/>
      <c r="I411" s="208"/>
      <c r="J411" s="208"/>
      <c r="K411" s="208"/>
      <c r="L411" s="245"/>
    </row>
    <row r="412" spans="1:12" ht="31.5" customHeight="1" x14ac:dyDescent="0.3">
      <c r="A412" s="303"/>
      <c r="B412" s="205"/>
      <c r="C412" s="205"/>
      <c r="D412" s="6" t="s">
        <v>26</v>
      </c>
      <c r="E412" s="40">
        <v>356561</v>
      </c>
      <c r="F412" s="40"/>
      <c r="G412" s="40"/>
      <c r="H412" s="246" t="s">
        <v>973</v>
      </c>
      <c r="I412" s="207" t="s">
        <v>653</v>
      </c>
      <c r="J412" s="207" t="s">
        <v>979</v>
      </c>
      <c r="K412" s="207" t="s">
        <v>48</v>
      </c>
      <c r="L412" s="250" t="s">
        <v>48</v>
      </c>
    </row>
    <row r="413" spans="1:12" ht="28.5" customHeight="1" thickBot="1" x14ac:dyDescent="0.35">
      <c r="A413" s="313"/>
      <c r="B413" s="206"/>
      <c r="C413" s="206"/>
      <c r="D413" s="6" t="s">
        <v>972</v>
      </c>
      <c r="E413" s="40">
        <v>60556</v>
      </c>
      <c r="F413" s="40"/>
      <c r="G413" s="40"/>
      <c r="H413" s="206"/>
      <c r="I413" s="198"/>
      <c r="J413" s="198"/>
      <c r="K413" s="198"/>
      <c r="L413" s="251"/>
    </row>
    <row r="414" spans="1:12" ht="93" x14ac:dyDescent="0.3">
      <c r="A414" s="22" t="s">
        <v>980</v>
      </c>
      <c r="B414" s="3" t="s">
        <v>981</v>
      </c>
      <c r="C414" s="3" t="s">
        <v>300</v>
      </c>
      <c r="D414" s="5" t="s">
        <v>26</v>
      </c>
      <c r="E414" s="42">
        <v>100000</v>
      </c>
      <c r="F414" s="42">
        <v>500000</v>
      </c>
      <c r="G414" s="42">
        <v>2900000</v>
      </c>
      <c r="H414" s="3" t="s">
        <v>301</v>
      </c>
      <c r="I414" s="5" t="s">
        <v>28</v>
      </c>
      <c r="J414" s="5" t="s">
        <v>140</v>
      </c>
      <c r="K414" s="5" t="s">
        <v>712</v>
      </c>
      <c r="L414" s="31" t="s">
        <v>712</v>
      </c>
    </row>
    <row r="415" spans="1:12" ht="32.25" customHeight="1" thickBot="1" x14ac:dyDescent="0.35">
      <c r="A415" s="21" t="s">
        <v>982</v>
      </c>
      <c r="B415" s="185" t="s">
        <v>983</v>
      </c>
      <c r="C415" s="186"/>
      <c r="D415" s="187"/>
      <c r="E415" s="39">
        <f t="shared" ref="E415:G415" si="53">E416+E419</f>
        <v>4262169.05</v>
      </c>
      <c r="F415" s="39">
        <f t="shared" si="53"/>
        <v>2826932</v>
      </c>
      <c r="G415" s="39">
        <f t="shared" si="53"/>
        <v>2826932</v>
      </c>
      <c r="H415" s="191"/>
      <c r="I415" s="192"/>
      <c r="J415" s="192"/>
      <c r="K415" s="192"/>
      <c r="L415" s="193"/>
    </row>
    <row r="416" spans="1:12" ht="31" x14ac:dyDescent="0.3">
      <c r="A416" s="302" t="s">
        <v>984</v>
      </c>
      <c r="B416" s="229" t="s">
        <v>985</v>
      </c>
      <c r="C416" s="229" t="s">
        <v>223</v>
      </c>
      <c r="D416" s="5" t="s">
        <v>268</v>
      </c>
      <c r="E416" s="44">
        <f t="shared" ref="E416:G416" si="54">SUM(E417:E418)</f>
        <v>326932</v>
      </c>
      <c r="F416" s="44">
        <f t="shared" si="54"/>
        <v>326932</v>
      </c>
      <c r="G416" s="44">
        <f t="shared" si="54"/>
        <v>326932</v>
      </c>
      <c r="H416" s="3" t="s">
        <v>986</v>
      </c>
      <c r="I416" s="5" t="s">
        <v>31</v>
      </c>
      <c r="J416" s="5" t="s">
        <v>987</v>
      </c>
      <c r="K416" s="5" t="s">
        <v>987</v>
      </c>
      <c r="L416" s="31" t="s">
        <v>987</v>
      </c>
    </row>
    <row r="417" spans="1:12" ht="37.5" customHeight="1" x14ac:dyDescent="0.3">
      <c r="A417" s="303"/>
      <c r="B417" s="205"/>
      <c r="C417" s="205"/>
      <c r="D417" s="6" t="s">
        <v>26</v>
      </c>
      <c r="E417" s="40">
        <v>200000</v>
      </c>
      <c r="F417" s="40">
        <v>200000</v>
      </c>
      <c r="G417" s="40">
        <v>200000</v>
      </c>
      <c r="H417" s="246" t="s">
        <v>988</v>
      </c>
      <c r="I417" s="207" t="s">
        <v>31</v>
      </c>
      <c r="J417" s="207" t="s">
        <v>699</v>
      </c>
      <c r="K417" s="207" t="s">
        <v>699</v>
      </c>
      <c r="L417" s="250" t="s">
        <v>699</v>
      </c>
    </row>
    <row r="418" spans="1:12" ht="16" thickBot="1" x14ac:dyDescent="0.35">
      <c r="A418" s="313"/>
      <c r="B418" s="206"/>
      <c r="C418" s="206"/>
      <c r="D418" s="6" t="s">
        <v>310</v>
      </c>
      <c r="E418" s="40">
        <v>126932</v>
      </c>
      <c r="F418" s="40">
        <v>126932</v>
      </c>
      <c r="G418" s="40">
        <v>126932</v>
      </c>
      <c r="H418" s="206"/>
      <c r="I418" s="198"/>
      <c r="J418" s="198"/>
      <c r="K418" s="198"/>
      <c r="L418" s="251"/>
    </row>
    <row r="419" spans="1:12" ht="15.5" x14ac:dyDescent="0.3">
      <c r="A419" s="302" t="s">
        <v>989</v>
      </c>
      <c r="B419" s="229" t="s">
        <v>990</v>
      </c>
      <c r="C419" s="229" t="s">
        <v>223</v>
      </c>
      <c r="D419" s="243" t="s">
        <v>270</v>
      </c>
      <c r="E419" s="255">
        <f>SUM(E420:E420)+3935237.05</f>
        <v>3935237.05</v>
      </c>
      <c r="F419" s="255">
        <f>SUM(F420:F420)+2500000</f>
        <v>2500000</v>
      </c>
      <c r="G419" s="255">
        <f>SUM(G420:G420)+2500000</f>
        <v>2500000</v>
      </c>
      <c r="H419" s="3" t="s">
        <v>991</v>
      </c>
      <c r="I419" s="5" t="s">
        <v>31</v>
      </c>
      <c r="J419" s="5" t="s">
        <v>203</v>
      </c>
      <c r="K419" s="5" t="s">
        <v>203</v>
      </c>
      <c r="L419" s="31" t="s">
        <v>203</v>
      </c>
    </row>
    <row r="420" spans="1:12" ht="62.5" thickBot="1" x14ac:dyDescent="0.35">
      <c r="A420" s="303"/>
      <c r="B420" s="205"/>
      <c r="C420" s="205"/>
      <c r="D420" s="197"/>
      <c r="E420" s="317">
        <v>0</v>
      </c>
      <c r="F420" s="317">
        <v>0</v>
      </c>
      <c r="G420" s="317">
        <v>0</v>
      </c>
      <c r="H420" s="107" t="s">
        <v>992</v>
      </c>
      <c r="I420" s="97" t="s">
        <v>28</v>
      </c>
      <c r="J420" s="97" t="s">
        <v>29</v>
      </c>
      <c r="K420" s="97" t="s">
        <v>29</v>
      </c>
      <c r="L420" s="109" t="s">
        <v>29</v>
      </c>
    </row>
    <row r="421" spans="1:12" ht="48" customHeight="1" thickBot="1" x14ac:dyDescent="0.35">
      <c r="A421" s="167" t="s">
        <v>993</v>
      </c>
      <c r="B421" s="230" t="s">
        <v>994</v>
      </c>
      <c r="C421" s="231"/>
      <c r="D421" s="232"/>
      <c r="E421" s="168">
        <f>E422+E424+E425</f>
        <v>439488</v>
      </c>
      <c r="F421" s="168">
        <f>F422+F424+F425</f>
        <v>0</v>
      </c>
      <c r="G421" s="168">
        <f>G422+G424+G425</f>
        <v>0</v>
      </c>
      <c r="H421" s="233"/>
      <c r="I421" s="234"/>
      <c r="J421" s="234"/>
      <c r="K421" s="234"/>
      <c r="L421" s="235"/>
    </row>
    <row r="422" spans="1:12" ht="48" customHeight="1" thickBot="1" x14ac:dyDescent="0.35">
      <c r="A422" s="130" t="s">
        <v>995</v>
      </c>
      <c r="B422" s="213" t="s">
        <v>996</v>
      </c>
      <c r="C422" s="213"/>
      <c r="D422" s="213"/>
      <c r="E422" s="131">
        <f t="shared" ref="E422:G422" si="55">SUM(E423:E423)</f>
        <v>439488</v>
      </c>
      <c r="F422" s="131">
        <f t="shared" si="55"/>
        <v>0</v>
      </c>
      <c r="G422" s="131">
        <f t="shared" si="55"/>
        <v>0</v>
      </c>
      <c r="H422" s="213"/>
      <c r="I422" s="213"/>
      <c r="J422" s="213"/>
      <c r="K422" s="213"/>
      <c r="L422" s="214"/>
    </row>
    <row r="423" spans="1:12" ht="47.25" customHeight="1" thickBot="1" x14ac:dyDescent="0.35">
      <c r="A423" s="83" t="s">
        <v>997</v>
      </c>
      <c r="B423" s="81" t="s">
        <v>998</v>
      </c>
      <c r="C423" s="81" t="s">
        <v>72</v>
      </c>
      <c r="D423" s="92" t="s">
        <v>26</v>
      </c>
      <c r="E423" s="95">
        <v>439488</v>
      </c>
      <c r="F423" s="94"/>
      <c r="G423" s="94"/>
      <c r="H423" s="93" t="s">
        <v>301</v>
      </c>
      <c r="I423" s="92" t="s">
        <v>28</v>
      </c>
      <c r="J423" s="92" t="s">
        <v>216</v>
      </c>
      <c r="K423" s="92" t="s">
        <v>48</v>
      </c>
      <c r="L423" s="91" t="s">
        <v>48</v>
      </c>
    </row>
    <row r="424" spans="1:12" ht="48" customHeight="1" thickBot="1" x14ac:dyDescent="0.35">
      <c r="A424" s="21" t="s">
        <v>999</v>
      </c>
      <c r="B424" s="185" t="s">
        <v>1000</v>
      </c>
      <c r="C424" s="186"/>
      <c r="D424" s="187"/>
      <c r="E424" s="43">
        <v>0</v>
      </c>
      <c r="F424" s="43">
        <v>0</v>
      </c>
      <c r="G424" s="43">
        <v>0</v>
      </c>
      <c r="H424" s="191"/>
      <c r="I424" s="192"/>
      <c r="J424" s="192"/>
      <c r="K424" s="192"/>
      <c r="L424" s="193"/>
    </row>
    <row r="425" spans="1:12" ht="32.25" customHeight="1" thickBot="1" x14ac:dyDescent="0.35">
      <c r="A425" s="21" t="s">
        <v>1001</v>
      </c>
      <c r="B425" s="185" t="s">
        <v>1002</v>
      </c>
      <c r="C425" s="186"/>
      <c r="D425" s="187"/>
      <c r="E425" s="43">
        <v>0</v>
      </c>
      <c r="F425" s="43">
        <v>0</v>
      </c>
      <c r="G425" s="43">
        <v>0</v>
      </c>
      <c r="H425" s="191"/>
      <c r="I425" s="192"/>
      <c r="J425" s="192"/>
      <c r="K425" s="192"/>
      <c r="L425" s="193"/>
    </row>
    <row r="426" spans="1:12" ht="16" thickBot="1" x14ac:dyDescent="0.35">
      <c r="A426" s="20" t="s">
        <v>1003</v>
      </c>
      <c r="B426" s="194" t="s">
        <v>1004</v>
      </c>
      <c r="C426" s="195"/>
      <c r="D426" s="196"/>
      <c r="E426" s="38">
        <f>E427+E429+E432+E435</f>
        <v>2751524.92</v>
      </c>
      <c r="F426" s="38">
        <f>F427+F429+F432+F435</f>
        <v>2988155</v>
      </c>
      <c r="G426" s="38">
        <f>G427+G429+G432+G435</f>
        <v>1976527</v>
      </c>
      <c r="H426" s="188"/>
      <c r="I426" s="189"/>
      <c r="J426" s="189"/>
      <c r="K426" s="189"/>
      <c r="L426" s="190"/>
    </row>
    <row r="427" spans="1:12" ht="32.25" customHeight="1" thickBot="1" x14ac:dyDescent="0.35">
      <c r="A427" s="21" t="s">
        <v>1005</v>
      </c>
      <c r="B427" s="185" t="s">
        <v>1006</v>
      </c>
      <c r="C427" s="186"/>
      <c r="D427" s="187"/>
      <c r="E427" s="39">
        <f t="shared" ref="E427:G427" si="56">SUM(E428:E428)</f>
        <v>400000</v>
      </c>
      <c r="F427" s="39">
        <f t="shared" si="56"/>
        <v>400000</v>
      </c>
      <c r="G427" s="39">
        <f t="shared" si="56"/>
        <v>400000</v>
      </c>
      <c r="H427" s="191"/>
      <c r="I427" s="192"/>
      <c r="J427" s="192"/>
      <c r="K427" s="192"/>
      <c r="L427" s="193"/>
    </row>
    <row r="428" spans="1:12" ht="62.5" thickBot="1" x14ac:dyDescent="0.35">
      <c r="A428" s="82" t="s">
        <v>1007</v>
      </c>
      <c r="B428" s="80" t="s">
        <v>1008</v>
      </c>
      <c r="C428" s="80" t="s">
        <v>1009</v>
      </c>
      <c r="D428" s="78" t="s">
        <v>26</v>
      </c>
      <c r="E428" s="90">
        <v>400000</v>
      </c>
      <c r="F428" s="90">
        <v>400000</v>
      </c>
      <c r="G428" s="90">
        <v>400000</v>
      </c>
      <c r="H428" s="80" t="s">
        <v>1010</v>
      </c>
      <c r="I428" s="78" t="s">
        <v>31</v>
      </c>
      <c r="J428" s="78" t="s">
        <v>133</v>
      </c>
      <c r="K428" s="78" t="s">
        <v>133</v>
      </c>
      <c r="L428" s="84" t="s">
        <v>133</v>
      </c>
    </row>
    <row r="429" spans="1:12" ht="32.25" customHeight="1" thickBot="1" x14ac:dyDescent="0.35">
      <c r="A429" s="130" t="s">
        <v>1011</v>
      </c>
      <c r="B429" s="342" t="s">
        <v>1012</v>
      </c>
      <c r="C429" s="342"/>
      <c r="D429" s="342"/>
      <c r="E429" s="131">
        <f>E430+E431</f>
        <v>200000</v>
      </c>
      <c r="F429" s="131">
        <f>F430+F431</f>
        <v>200000</v>
      </c>
      <c r="G429" s="131">
        <f>G430+G431</f>
        <v>200000</v>
      </c>
      <c r="H429" s="213"/>
      <c r="I429" s="213"/>
      <c r="J429" s="213"/>
      <c r="K429" s="213"/>
      <c r="L429" s="214"/>
    </row>
    <row r="430" spans="1:12" ht="84" customHeight="1" thickBot="1" x14ac:dyDescent="0.35">
      <c r="A430" s="66" t="s">
        <v>1013</v>
      </c>
      <c r="B430" s="93" t="s">
        <v>1014</v>
      </c>
      <c r="C430" s="93" t="s">
        <v>1009</v>
      </c>
      <c r="D430" s="92" t="s">
        <v>26</v>
      </c>
      <c r="E430" s="95">
        <v>200000</v>
      </c>
      <c r="F430" s="95">
        <v>200000</v>
      </c>
      <c r="G430" s="95">
        <v>200000</v>
      </c>
      <c r="H430" s="93" t="s">
        <v>1015</v>
      </c>
      <c r="I430" s="92" t="s">
        <v>31</v>
      </c>
      <c r="J430" s="92" t="s">
        <v>133</v>
      </c>
      <c r="K430" s="92" t="s">
        <v>133</v>
      </c>
      <c r="L430" s="91" t="s">
        <v>133</v>
      </c>
    </row>
    <row r="431" spans="1:12" ht="149.25" customHeight="1" thickBot="1" x14ac:dyDescent="0.35">
      <c r="A431" s="22" t="s">
        <v>1016</v>
      </c>
      <c r="B431" s="3" t="s">
        <v>1017</v>
      </c>
      <c r="C431" s="3" t="s">
        <v>72</v>
      </c>
      <c r="D431" s="5"/>
      <c r="E431" s="44"/>
      <c r="F431" s="44"/>
      <c r="G431" s="44"/>
      <c r="H431" s="3" t="s">
        <v>301</v>
      </c>
      <c r="I431" s="5" t="s">
        <v>28</v>
      </c>
      <c r="J431" s="5" t="s">
        <v>32</v>
      </c>
      <c r="K431" s="5" t="s">
        <v>48</v>
      </c>
      <c r="L431" s="31" t="s">
        <v>48</v>
      </c>
    </row>
    <row r="432" spans="1:12" ht="48" customHeight="1" thickBot="1" x14ac:dyDescent="0.35">
      <c r="A432" s="21" t="s">
        <v>1018</v>
      </c>
      <c r="B432" s="185" t="s">
        <v>1019</v>
      </c>
      <c r="C432" s="186"/>
      <c r="D432" s="187"/>
      <c r="E432" s="39">
        <f t="shared" ref="E432:G432" si="57">SUM(E433:E433)</f>
        <v>865000</v>
      </c>
      <c r="F432" s="39">
        <f t="shared" si="57"/>
        <v>1120000</v>
      </c>
      <c r="G432" s="39">
        <f t="shared" si="57"/>
        <v>125000</v>
      </c>
      <c r="H432" s="191"/>
      <c r="I432" s="192"/>
      <c r="J432" s="192"/>
      <c r="K432" s="192"/>
      <c r="L432" s="193"/>
    </row>
    <row r="433" spans="1:12" ht="36.75" customHeight="1" x14ac:dyDescent="0.3">
      <c r="A433" s="302" t="s">
        <v>1020</v>
      </c>
      <c r="B433" s="229" t="s">
        <v>1021</v>
      </c>
      <c r="C433" s="229" t="s">
        <v>223</v>
      </c>
      <c r="D433" s="243" t="s">
        <v>26</v>
      </c>
      <c r="E433" s="255">
        <f>SUM(E434:E434)+865000</f>
        <v>865000</v>
      </c>
      <c r="F433" s="255">
        <f>SUM(F434:F434)+1120000</f>
        <v>1120000</v>
      </c>
      <c r="G433" s="255">
        <f>SUM(G434:G434)+125000</f>
        <v>125000</v>
      </c>
      <c r="H433" s="3" t="s">
        <v>934</v>
      </c>
      <c r="I433" s="5" t="s">
        <v>31</v>
      </c>
      <c r="J433" s="5" t="s">
        <v>60</v>
      </c>
      <c r="K433" s="5" t="s">
        <v>60</v>
      </c>
      <c r="L433" s="31" t="s">
        <v>60</v>
      </c>
    </row>
    <row r="434" spans="1:12" ht="36.75" customHeight="1" thickBot="1" x14ac:dyDescent="0.35">
      <c r="A434" s="303"/>
      <c r="B434" s="205"/>
      <c r="C434" s="205"/>
      <c r="D434" s="197"/>
      <c r="E434" s="317">
        <v>0</v>
      </c>
      <c r="F434" s="317">
        <v>0</v>
      </c>
      <c r="G434" s="317">
        <v>0</v>
      </c>
      <c r="H434" s="107" t="s">
        <v>1022</v>
      </c>
      <c r="I434" s="97" t="s">
        <v>31</v>
      </c>
      <c r="J434" s="97" t="s">
        <v>150</v>
      </c>
      <c r="K434" s="97" t="s">
        <v>150</v>
      </c>
      <c r="L434" s="109" t="s">
        <v>150</v>
      </c>
    </row>
    <row r="435" spans="1:12" ht="32.25" customHeight="1" thickBot="1" x14ac:dyDescent="0.35">
      <c r="A435" s="170" t="s">
        <v>1023</v>
      </c>
      <c r="B435" s="199" t="s">
        <v>1024</v>
      </c>
      <c r="C435" s="200"/>
      <c r="D435" s="201"/>
      <c r="E435" s="171">
        <f t="shared" ref="E435:G435" si="58">E436+E440+E441+E442</f>
        <v>1286524.92</v>
      </c>
      <c r="F435" s="171">
        <f t="shared" si="58"/>
        <v>1268155</v>
      </c>
      <c r="G435" s="171">
        <f t="shared" si="58"/>
        <v>1251527</v>
      </c>
      <c r="H435" s="202"/>
      <c r="I435" s="203"/>
      <c r="J435" s="203"/>
      <c r="K435" s="203"/>
      <c r="L435" s="204"/>
    </row>
    <row r="436" spans="1:12" ht="32.25" customHeight="1" x14ac:dyDescent="0.3">
      <c r="A436" s="303" t="s">
        <v>1025</v>
      </c>
      <c r="B436" s="205" t="s">
        <v>1026</v>
      </c>
      <c r="C436" s="205" t="s">
        <v>223</v>
      </c>
      <c r="D436" s="98" t="s">
        <v>268</v>
      </c>
      <c r="E436" s="100">
        <f t="shared" ref="E436:G436" si="59">SUM(E437:E439)</f>
        <v>1131524.92</v>
      </c>
      <c r="F436" s="100">
        <f t="shared" si="59"/>
        <v>1131527</v>
      </c>
      <c r="G436" s="100">
        <f t="shared" si="59"/>
        <v>1131527</v>
      </c>
      <c r="H436" s="104" t="s">
        <v>1027</v>
      </c>
      <c r="I436" s="98" t="s">
        <v>50</v>
      </c>
      <c r="J436" s="98" t="s">
        <v>1028</v>
      </c>
      <c r="K436" s="98" t="s">
        <v>1029</v>
      </c>
      <c r="L436" s="106" t="s">
        <v>1030</v>
      </c>
    </row>
    <row r="437" spans="1:12" ht="46.5" x14ac:dyDescent="0.3">
      <c r="A437" s="303"/>
      <c r="B437" s="205"/>
      <c r="C437" s="205"/>
      <c r="D437" s="6" t="s">
        <v>26</v>
      </c>
      <c r="E437" s="40">
        <v>853377</v>
      </c>
      <c r="F437" s="40">
        <v>853377</v>
      </c>
      <c r="G437" s="40">
        <v>853377</v>
      </c>
      <c r="H437" s="4" t="s">
        <v>1031</v>
      </c>
      <c r="I437" s="6" t="s">
        <v>31</v>
      </c>
      <c r="J437" s="6" t="s">
        <v>1032</v>
      </c>
      <c r="K437" s="6" t="s">
        <v>565</v>
      </c>
      <c r="L437" s="32" t="s">
        <v>628</v>
      </c>
    </row>
    <row r="438" spans="1:12" ht="29.25" customHeight="1" x14ac:dyDescent="0.3">
      <c r="A438" s="303"/>
      <c r="B438" s="205"/>
      <c r="C438" s="205"/>
      <c r="D438" s="207" t="s">
        <v>270</v>
      </c>
      <c r="E438" s="211">
        <v>278147.92</v>
      </c>
      <c r="F438" s="211">
        <v>278150</v>
      </c>
      <c r="G438" s="211">
        <v>278150</v>
      </c>
      <c r="H438" s="4" t="s">
        <v>1033</v>
      </c>
      <c r="I438" s="6" t="s">
        <v>653</v>
      </c>
      <c r="J438" s="6" t="s">
        <v>374</v>
      </c>
      <c r="K438" s="6" t="s">
        <v>1034</v>
      </c>
      <c r="L438" s="32" t="s">
        <v>1035</v>
      </c>
    </row>
    <row r="439" spans="1:12" ht="31.5" thickBot="1" x14ac:dyDescent="0.35">
      <c r="A439" s="313"/>
      <c r="B439" s="206"/>
      <c r="C439" s="206"/>
      <c r="D439" s="198"/>
      <c r="E439" s="256"/>
      <c r="F439" s="256"/>
      <c r="G439" s="256"/>
      <c r="H439" s="4" t="s">
        <v>1036</v>
      </c>
      <c r="I439" s="6" t="s">
        <v>31</v>
      </c>
      <c r="J439" s="6" t="s">
        <v>75</v>
      </c>
      <c r="K439" s="6" t="s">
        <v>75</v>
      </c>
      <c r="L439" s="32" t="s">
        <v>75</v>
      </c>
    </row>
    <row r="440" spans="1:12" ht="109" thickBot="1" x14ac:dyDescent="0.35">
      <c r="A440" s="22" t="s">
        <v>1037</v>
      </c>
      <c r="B440" s="3" t="s">
        <v>1038</v>
      </c>
      <c r="C440" s="3" t="s">
        <v>72</v>
      </c>
      <c r="D440" s="5" t="s">
        <v>418</v>
      </c>
      <c r="E440" s="42">
        <v>35000</v>
      </c>
      <c r="F440" s="42">
        <v>16628</v>
      </c>
      <c r="G440" s="42"/>
      <c r="H440" s="3" t="s">
        <v>301</v>
      </c>
      <c r="I440" s="5" t="s">
        <v>28</v>
      </c>
      <c r="J440" s="5" t="s">
        <v>133</v>
      </c>
      <c r="K440" s="5" t="s">
        <v>133</v>
      </c>
      <c r="L440" s="31" t="s">
        <v>48</v>
      </c>
    </row>
    <row r="441" spans="1:12" ht="62.5" thickBot="1" x14ac:dyDescent="0.35">
      <c r="A441" s="22" t="s">
        <v>1039</v>
      </c>
      <c r="B441" s="3" t="s">
        <v>1040</v>
      </c>
      <c r="C441" s="3" t="s">
        <v>851</v>
      </c>
      <c r="D441" s="5" t="s">
        <v>26</v>
      </c>
      <c r="E441" s="42">
        <v>60000</v>
      </c>
      <c r="F441" s="42">
        <v>60000</v>
      </c>
      <c r="G441" s="42">
        <v>60000</v>
      </c>
      <c r="H441" s="3" t="s">
        <v>1041</v>
      </c>
      <c r="I441" s="5" t="s">
        <v>31</v>
      </c>
      <c r="J441" s="5" t="s">
        <v>47</v>
      </c>
      <c r="K441" s="5" t="s">
        <v>47</v>
      </c>
      <c r="L441" s="31" t="s">
        <v>47</v>
      </c>
    </row>
    <row r="442" spans="1:12" ht="31" x14ac:dyDescent="0.3">
      <c r="A442" s="302" t="s">
        <v>1042</v>
      </c>
      <c r="B442" s="229" t="s">
        <v>1043</v>
      </c>
      <c r="C442" s="229" t="s">
        <v>851</v>
      </c>
      <c r="D442" s="243" t="s">
        <v>26</v>
      </c>
      <c r="E442" s="255">
        <f t="shared" ref="E442:G442" si="60">SUM(E443:E445)+60000</f>
        <v>60000</v>
      </c>
      <c r="F442" s="255">
        <f t="shared" si="60"/>
        <v>60000</v>
      </c>
      <c r="G442" s="255">
        <f t="shared" si="60"/>
        <v>60000</v>
      </c>
      <c r="H442" s="3" t="s">
        <v>1044</v>
      </c>
      <c r="I442" s="5" t="s">
        <v>31</v>
      </c>
      <c r="J442" s="5" t="s">
        <v>47</v>
      </c>
      <c r="K442" s="5" t="s">
        <v>47</v>
      </c>
      <c r="L442" s="31" t="s">
        <v>47</v>
      </c>
    </row>
    <row r="443" spans="1:12" ht="46.5" x14ac:dyDescent="0.3">
      <c r="A443" s="303"/>
      <c r="B443" s="205"/>
      <c r="C443" s="205"/>
      <c r="D443" s="197"/>
      <c r="E443" s="317">
        <v>0</v>
      </c>
      <c r="F443" s="317">
        <v>0</v>
      </c>
      <c r="G443" s="317">
        <v>0</v>
      </c>
      <c r="H443" s="4" t="s">
        <v>1045</v>
      </c>
      <c r="I443" s="6" t="s">
        <v>31</v>
      </c>
      <c r="J443" s="6" t="s">
        <v>47</v>
      </c>
      <c r="K443" s="6" t="s">
        <v>47</v>
      </c>
      <c r="L443" s="32" t="s">
        <v>47</v>
      </c>
    </row>
    <row r="444" spans="1:12" ht="31" x14ac:dyDescent="0.3">
      <c r="A444" s="303"/>
      <c r="B444" s="205"/>
      <c r="C444" s="205"/>
      <c r="D444" s="197"/>
      <c r="E444" s="317">
        <v>0</v>
      </c>
      <c r="F444" s="317">
        <v>0</v>
      </c>
      <c r="G444" s="317">
        <v>0</v>
      </c>
      <c r="H444" s="4" t="s">
        <v>1046</v>
      </c>
      <c r="I444" s="6" t="s">
        <v>31</v>
      </c>
      <c r="J444" s="6" t="s">
        <v>220</v>
      </c>
      <c r="K444" s="6" t="s">
        <v>220</v>
      </c>
      <c r="L444" s="32" t="s">
        <v>220</v>
      </c>
    </row>
    <row r="445" spans="1:12" ht="31.5" thickBot="1" x14ac:dyDescent="0.35">
      <c r="A445" s="313"/>
      <c r="B445" s="206"/>
      <c r="C445" s="206"/>
      <c r="D445" s="198"/>
      <c r="E445" s="256">
        <v>0</v>
      </c>
      <c r="F445" s="256">
        <v>0</v>
      </c>
      <c r="G445" s="256">
        <v>0</v>
      </c>
      <c r="H445" s="4" t="s">
        <v>1047</v>
      </c>
      <c r="I445" s="6" t="s">
        <v>31</v>
      </c>
      <c r="J445" s="6" t="s">
        <v>133</v>
      </c>
      <c r="K445" s="6" t="s">
        <v>133</v>
      </c>
      <c r="L445" s="32" t="s">
        <v>133</v>
      </c>
    </row>
    <row r="446" spans="1:12" ht="48" customHeight="1" thickBot="1" x14ac:dyDescent="0.35">
      <c r="A446" s="19" t="s">
        <v>1048</v>
      </c>
      <c r="B446" s="261" t="s">
        <v>1049</v>
      </c>
      <c r="C446" s="262"/>
      <c r="D446" s="263"/>
      <c r="E446" s="37">
        <f>E447+E468+E487+E498</f>
        <v>12548192.699999999</v>
      </c>
      <c r="F446" s="37">
        <f>F447+F468+F487+F498</f>
        <v>12165663.4</v>
      </c>
      <c r="G446" s="37">
        <f>G447+G468+G487+G498</f>
        <v>13094457.4</v>
      </c>
      <c r="H446" s="247"/>
      <c r="I446" s="248"/>
      <c r="J446" s="248"/>
      <c r="K446" s="248"/>
      <c r="L446" s="249"/>
    </row>
    <row r="447" spans="1:12" ht="16" thickBot="1" x14ac:dyDescent="0.35">
      <c r="A447" s="20" t="s">
        <v>1050</v>
      </c>
      <c r="B447" s="194" t="s">
        <v>1051</v>
      </c>
      <c r="C447" s="195"/>
      <c r="D447" s="196"/>
      <c r="E447" s="38">
        <f>E448+E449+E453+E462</f>
        <v>2082830</v>
      </c>
      <c r="F447" s="38">
        <f>F448+F449+F453+F462</f>
        <v>945000</v>
      </c>
      <c r="G447" s="38">
        <f>G448+G449+G453+G462</f>
        <v>1145000</v>
      </c>
      <c r="H447" s="188"/>
      <c r="I447" s="189"/>
      <c r="J447" s="189"/>
      <c r="K447" s="189"/>
      <c r="L447" s="190"/>
    </row>
    <row r="448" spans="1:12" ht="79.5" customHeight="1" thickBot="1" x14ac:dyDescent="0.35">
      <c r="A448" s="21" t="s">
        <v>1052</v>
      </c>
      <c r="B448" s="185" t="s">
        <v>1053</v>
      </c>
      <c r="C448" s="186"/>
      <c r="D448" s="187"/>
      <c r="E448" s="43">
        <v>0</v>
      </c>
      <c r="F448" s="43">
        <v>0</v>
      </c>
      <c r="G448" s="43">
        <v>0</v>
      </c>
      <c r="H448" s="191"/>
      <c r="I448" s="192"/>
      <c r="J448" s="192"/>
      <c r="K448" s="192"/>
      <c r="L448" s="193"/>
    </row>
    <row r="449" spans="1:13" ht="48" customHeight="1" thickBot="1" x14ac:dyDescent="0.35">
      <c r="A449" s="117" t="s">
        <v>1054</v>
      </c>
      <c r="B449" s="215" t="s">
        <v>1055</v>
      </c>
      <c r="C449" s="216"/>
      <c r="D449" s="217"/>
      <c r="E449" s="118">
        <f t="shared" ref="E449:G449" si="61">SUM(E450:E450)</f>
        <v>521056</v>
      </c>
      <c r="F449" s="118">
        <f t="shared" si="61"/>
        <v>0</v>
      </c>
      <c r="G449" s="118">
        <f t="shared" si="61"/>
        <v>0</v>
      </c>
      <c r="H449" s="218"/>
      <c r="I449" s="219"/>
      <c r="J449" s="219"/>
      <c r="K449" s="219"/>
      <c r="L449" s="220"/>
    </row>
    <row r="450" spans="1:13" ht="31" x14ac:dyDescent="0.3">
      <c r="A450" s="304" t="s">
        <v>1056</v>
      </c>
      <c r="B450" s="227" t="s">
        <v>1057</v>
      </c>
      <c r="C450" s="227" t="s">
        <v>72</v>
      </c>
      <c r="D450" s="9" t="s">
        <v>268</v>
      </c>
      <c r="E450" s="45">
        <f t="shared" ref="E450" si="62">SUM(E451:E452)</f>
        <v>521056</v>
      </c>
      <c r="F450" s="45"/>
      <c r="G450" s="45"/>
      <c r="H450" s="57" t="s">
        <v>301</v>
      </c>
      <c r="I450" s="9" t="s">
        <v>28</v>
      </c>
      <c r="J450" s="9" t="s">
        <v>75</v>
      </c>
      <c r="K450" s="9" t="s">
        <v>48</v>
      </c>
      <c r="L450" s="58" t="s">
        <v>48</v>
      </c>
    </row>
    <row r="451" spans="1:13" ht="15.5" x14ac:dyDescent="0.3">
      <c r="A451" s="305"/>
      <c r="B451" s="205"/>
      <c r="C451" s="205"/>
      <c r="D451" s="6" t="s">
        <v>418</v>
      </c>
      <c r="E451" s="40">
        <v>442898</v>
      </c>
      <c r="F451" s="40"/>
      <c r="G451" s="40"/>
      <c r="H451" s="246" t="s">
        <v>1058</v>
      </c>
      <c r="I451" s="207" t="s">
        <v>31</v>
      </c>
      <c r="J451" s="333" t="s">
        <v>1059</v>
      </c>
      <c r="K451" s="207" t="s">
        <v>48</v>
      </c>
      <c r="L451" s="343" t="s">
        <v>48</v>
      </c>
    </row>
    <row r="452" spans="1:13" ht="16" thickBot="1" x14ac:dyDescent="0.35">
      <c r="A452" s="306"/>
      <c r="B452" s="228"/>
      <c r="C452" s="228"/>
      <c r="D452" s="10" t="s">
        <v>26</v>
      </c>
      <c r="E452" s="46">
        <v>78158</v>
      </c>
      <c r="F452" s="46"/>
      <c r="G452" s="46"/>
      <c r="H452" s="228"/>
      <c r="I452" s="307"/>
      <c r="J452" s="344"/>
      <c r="K452" s="307"/>
      <c r="L452" s="338"/>
    </row>
    <row r="453" spans="1:13" ht="48" customHeight="1" thickBot="1" x14ac:dyDescent="0.35">
      <c r="A453" s="24" t="s">
        <v>1060</v>
      </c>
      <c r="B453" s="221" t="s">
        <v>1061</v>
      </c>
      <c r="C453" s="222"/>
      <c r="D453" s="223"/>
      <c r="E453" s="158">
        <f>E454+E455+E459+E461</f>
        <v>825000</v>
      </c>
      <c r="F453" s="158">
        <f>F454+F455+F459+F461</f>
        <v>945000</v>
      </c>
      <c r="G453" s="158">
        <f>G454+G455+G459+G461</f>
        <v>1145000</v>
      </c>
      <c r="H453" s="224"/>
      <c r="I453" s="225"/>
      <c r="J453" s="225"/>
      <c r="K453" s="225"/>
      <c r="L453" s="226"/>
    </row>
    <row r="454" spans="1:13" ht="124.5" thickBot="1" x14ac:dyDescent="0.35">
      <c r="A454" s="23" t="s">
        <v>1062</v>
      </c>
      <c r="B454" s="27" t="s">
        <v>1063</v>
      </c>
      <c r="C454" s="28" t="s">
        <v>1064</v>
      </c>
      <c r="D454" s="6" t="s">
        <v>26</v>
      </c>
      <c r="E454" s="40">
        <v>250000</v>
      </c>
      <c r="F454" s="40">
        <v>500000</v>
      </c>
      <c r="G454" s="40">
        <v>700000</v>
      </c>
      <c r="H454" s="3" t="s">
        <v>1065</v>
      </c>
      <c r="I454" s="5" t="s">
        <v>31</v>
      </c>
      <c r="J454" s="5" t="s">
        <v>133</v>
      </c>
      <c r="K454" s="5" t="s">
        <v>140</v>
      </c>
      <c r="L454" s="31" t="s">
        <v>129</v>
      </c>
    </row>
    <row r="455" spans="1:13" ht="46.5" x14ac:dyDescent="0.3">
      <c r="A455" s="302" t="s">
        <v>1066</v>
      </c>
      <c r="B455" s="229" t="s">
        <v>1067</v>
      </c>
      <c r="C455" s="345" t="s">
        <v>1064</v>
      </c>
      <c r="D455" s="243" t="s">
        <v>26</v>
      </c>
      <c r="E455" s="255">
        <f t="shared" ref="E455:G455" si="63">SUM(E456:E458)+45000</f>
        <v>45000</v>
      </c>
      <c r="F455" s="255">
        <f t="shared" si="63"/>
        <v>45000</v>
      </c>
      <c r="G455" s="255">
        <f t="shared" si="63"/>
        <v>45000</v>
      </c>
      <c r="H455" s="3" t="s">
        <v>1068</v>
      </c>
      <c r="I455" s="5" t="s">
        <v>31</v>
      </c>
      <c r="J455" s="5" t="s">
        <v>158</v>
      </c>
      <c r="K455" s="5" t="s">
        <v>158</v>
      </c>
      <c r="L455" s="31" t="s">
        <v>158</v>
      </c>
    </row>
    <row r="456" spans="1:13" ht="46.5" x14ac:dyDescent="0.3">
      <c r="A456" s="303"/>
      <c r="B456" s="205"/>
      <c r="C456" s="346"/>
      <c r="D456" s="197"/>
      <c r="E456" s="317">
        <v>0</v>
      </c>
      <c r="F456" s="317">
        <v>0</v>
      </c>
      <c r="G456" s="317">
        <v>0</v>
      </c>
      <c r="H456" s="4" t="s">
        <v>1069</v>
      </c>
      <c r="I456" s="6" t="s">
        <v>31</v>
      </c>
      <c r="J456" s="6" t="s">
        <v>133</v>
      </c>
      <c r="K456" s="6" t="s">
        <v>133</v>
      </c>
      <c r="L456" s="32" t="s">
        <v>133</v>
      </c>
    </row>
    <row r="457" spans="1:13" ht="46.5" x14ac:dyDescent="0.3">
      <c r="A457" s="303"/>
      <c r="B457" s="205"/>
      <c r="C457" s="346"/>
      <c r="D457" s="197"/>
      <c r="E457" s="317">
        <v>0</v>
      </c>
      <c r="F457" s="317">
        <v>0</v>
      </c>
      <c r="G457" s="317">
        <v>0</v>
      </c>
      <c r="H457" s="4" t="s">
        <v>1070</v>
      </c>
      <c r="I457" s="6" t="s">
        <v>31</v>
      </c>
      <c r="J457" s="6" t="s">
        <v>604</v>
      </c>
      <c r="K457" s="6" t="s">
        <v>604</v>
      </c>
      <c r="L457" s="32" t="s">
        <v>604</v>
      </c>
    </row>
    <row r="458" spans="1:13" ht="135" customHeight="1" thickBot="1" x14ac:dyDescent="0.35">
      <c r="A458" s="313"/>
      <c r="B458" s="206"/>
      <c r="C458" s="347"/>
      <c r="D458" s="198"/>
      <c r="E458" s="256">
        <v>0</v>
      </c>
      <c r="F458" s="256">
        <v>0</v>
      </c>
      <c r="G458" s="256">
        <v>0</v>
      </c>
      <c r="H458" s="4" t="s">
        <v>1071</v>
      </c>
      <c r="I458" s="6" t="s">
        <v>28</v>
      </c>
      <c r="J458" s="6" t="s">
        <v>29</v>
      </c>
      <c r="K458" s="6" t="s">
        <v>29</v>
      </c>
      <c r="L458" s="32" t="s">
        <v>29</v>
      </c>
    </row>
    <row r="459" spans="1:13" ht="15.5" x14ac:dyDescent="0.3">
      <c r="A459" s="302" t="s">
        <v>1072</v>
      </c>
      <c r="B459" s="229" t="s">
        <v>1073</v>
      </c>
      <c r="C459" s="345" t="s">
        <v>1064</v>
      </c>
      <c r="D459" s="243" t="s">
        <v>26</v>
      </c>
      <c r="E459" s="255">
        <f>SUM(E460:E460)+500000</f>
        <v>500000</v>
      </c>
      <c r="F459" s="255">
        <f>SUM(F460:F460)+400000</f>
        <v>400000</v>
      </c>
      <c r="G459" s="255">
        <f>SUM(G460:G460)+400000</f>
        <v>400000</v>
      </c>
      <c r="H459" s="3" t="s">
        <v>1074</v>
      </c>
      <c r="I459" s="5" t="s">
        <v>31</v>
      </c>
      <c r="J459" s="68" t="s">
        <v>47</v>
      </c>
      <c r="K459" s="68" t="s">
        <v>47</v>
      </c>
      <c r="L459" s="70" t="s">
        <v>47</v>
      </c>
    </row>
    <row r="460" spans="1:13" ht="60" customHeight="1" thickBot="1" x14ac:dyDescent="0.35">
      <c r="A460" s="313"/>
      <c r="B460" s="206"/>
      <c r="C460" s="347"/>
      <c r="D460" s="198"/>
      <c r="E460" s="256">
        <v>0</v>
      </c>
      <c r="F460" s="256">
        <v>0</v>
      </c>
      <c r="G460" s="256">
        <v>0</v>
      </c>
      <c r="H460" s="4" t="s">
        <v>1075</v>
      </c>
      <c r="I460" s="6" t="s">
        <v>31</v>
      </c>
      <c r="J460" s="6" t="s">
        <v>60</v>
      </c>
      <c r="K460" s="6" t="s">
        <v>60</v>
      </c>
      <c r="L460" s="32" t="s">
        <v>60</v>
      </c>
    </row>
    <row r="461" spans="1:13" ht="83.5" customHeight="1" thickBot="1" x14ac:dyDescent="0.35">
      <c r="A461" s="22" t="s">
        <v>1076</v>
      </c>
      <c r="B461" s="3" t="s">
        <v>1077</v>
      </c>
      <c r="C461" s="29" t="s">
        <v>1064</v>
      </c>
      <c r="D461" s="5" t="s">
        <v>26</v>
      </c>
      <c r="E461" s="42">
        <v>30000</v>
      </c>
      <c r="F461" s="42"/>
      <c r="G461" s="42"/>
      <c r="H461" s="3" t="s">
        <v>1078</v>
      </c>
      <c r="I461" s="5" t="s">
        <v>31</v>
      </c>
      <c r="J461" s="5" t="s">
        <v>47</v>
      </c>
      <c r="K461" s="5" t="s">
        <v>48</v>
      </c>
      <c r="L461" s="31" t="s">
        <v>48</v>
      </c>
    </row>
    <row r="462" spans="1:13" ht="32.25" customHeight="1" thickBot="1" x14ac:dyDescent="0.35">
      <c r="A462" s="117" t="s">
        <v>1079</v>
      </c>
      <c r="B462" s="215" t="s">
        <v>1080</v>
      </c>
      <c r="C462" s="216"/>
      <c r="D462" s="217"/>
      <c r="E462" s="118">
        <f t="shared" ref="E462:G462" si="64">E463+E467</f>
        <v>736774</v>
      </c>
      <c r="F462" s="118">
        <f t="shared" si="64"/>
        <v>0</v>
      </c>
      <c r="G462" s="118">
        <f t="shared" si="64"/>
        <v>0</v>
      </c>
      <c r="H462" s="218"/>
      <c r="I462" s="219"/>
      <c r="J462" s="219"/>
      <c r="K462" s="219"/>
      <c r="L462" s="220"/>
    </row>
    <row r="463" spans="1:13" ht="75.75" customHeight="1" thickBot="1" x14ac:dyDescent="0.35">
      <c r="A463" s="140" t="s">
        <v>1081</v>
      </c>
      <c r="B463" s="141" t="s">
        <v>1082</v>
      </c>
      <c r="C463" s="142" t="s">
        <v>1064</v>
      </c>
      <c r="D463" s="143" t="s">
        <v>268</v>
      </c>
      <c r="E463" s="144">
        <f t="shared" ref="E463" si="65">SUM(E464:E466)</f>
        <v>701774</v>
      </c>
      <c r="F463" s="144"/>
      <c r="G463" s="144"/>
      <c r="H463" s="145" t="s">
        <v>1083</v>
      </c>
      <c r="I463" s="143" t="s">
        <v>868</v>
      </c>
      <c r="J463" s="146" t="s">
        <v>48</v>
      </c>
      <c r="K463" s="146" t="s">
        <v>1084</v>
      </c>
      <c r="L463" s="147" t="s">
        <v>1085</v>
      </c>
      <c r="M463" s="352"/>
    </row>
    <row r="464" spans="1:13" ht="31" x14ac:dyDescent="0.3">
      <c r="A464" s="350"/>
      <c r="B464" s="197"/>
      <c r="C464" s="348"/>
      <c r="D464" s="92" t="s">
        <v>26</v>
      </c>
      <c r="E464" s="95">
        <v>701469</v>
      </c>
      <c r="F464" s="95">
        <v>0</v>
      </c>
      <c r="G464" s="95">
        <v>0</v>
      </c>
      <c r="H464" s="93" t="s">
        <v>1086</v>
      </c>
      <c r="I464" s="92" t="s">
        <v>31</v>
      </c>
      <c r="J464" s="135" t="s">
        <v>48</v>
      </c>
      <c r="K464" s="135" t="s">
        <v>129</v>
      </c>
      <c r="L464" s="136" t="s">
        <v>140</v>
      </c>
      <c r="M464" s="354"/>
    </row>
    <row r="465" spans="1:14" ht="31.5" customHeight="1" x14ac:dyDescent="0.3">
      <c r="A465" s="350"/>
      <c r="B465" s="197"/>
      <c r="C465" s="348"/>
      <c r="D465" s="6" t="s">
        <v>337</v>
      </c>
      <c r="E465" s="40">
        <v>0</v>
      </c>
      <c r="F465" s="40">
        <v>0</v>
      </c>
      <c r="G465" s="40">
        <v>0</v>
      </c>
      <c r="H465" s="246" t="s">
        <v>1087</v>
      </c>
      <c r="I465" s="207" t="s">
        <v>31</v>
      </c>
      <c r="J465" s="333" t="s">
        <v>129</v>
      </c>
      <c r="K465" s="333" t="s">
        <v>140</v>
      </c>
      <c r="L465" s="264" t="s">
        <v>48</v>
      </c>
      <c r="M465" s="354"/>
    </row>
    <row r="466" spans="1:14" ht="16" thickBot="1" x14ac:dyDescent="0.35">
      <c r="A466" s="351"/>
      <c r="B466" s="198"/>
      <c r="C466" s="349"/>
      <c r="D466" s="6" t="s">
        <v>418</v>
      </c>
      <c r="E466" s="40">
        <v>305</v>
      </c>
      <c r="F466" s="40"/>
      <c r="G466" s="40"/>
      <c r="H466" s="206"/>
      <c r="I466" s="198"/>
      <c r="J466" s="334"/>
      <c r="K466" s="334"/>
      <c r="L466" s="265"/>
      <c r="M466" s="354"/>
    </row>
    <row r="467" spans="1:14" ht="70.5" thickBot="1" x14ac:dyDescent="0.35">
      <c r="A467" s="22" t="s">
        <v>1088</v>
      </c>
      <c r="B467" s="3" t="s">
        <v>1089</v>
      </c>
      <c r="C467" s="29" t="s">
        <v>1064</v>
      </c>
      <c r="D467" s="5" t="s">
        <v>26</v>
      </c>
      <c r="E467" s="42">
        <v>35000</v>
      </c>
      <c r="F467" s="42">
        <v>0</v>
      </c>
      <c r="G467" s="42">
        <v>0</v>
      </c>
      <c r="H467" s="3" t="s">
        <v>1090</v>
      </c>
      <c r="I467" s="5" t="s">
        <v>31</v>
      </c>
      <c r="J467" s="5" t="s">
        <v>47</v>
      </c>
      <c r="K467" s="5" t="s">
        <v>48</v>
      </c>
      <c r="L467" s="31" t="s">
        <v>48</v>
      </c>
    </row>
    <row r="468" spans="1:14" ht="32.25" customHeight="1" thickBot="1" x14ac:dyDescent="0.35">
      <c r="A468" s="20" t="s">
        <v>1091</v>
      </c>
      <c r="B468" s="194" t="s">
        <v>1092</v>
      </c>
      <c r="C468" s="195"/>
      <c r="D468" s="196"/>
      <c r="E468" s="38">
        <f>E469+E470+E478+E480</f>
        <v>10386945.699999999</v>
      </c>
      <c r="F468" s="38">
        <f>F469+F470+F478+F480</f>
        <v>11119210</v>
      </c>
      <c r="G468" s="38">
        <f>G469+G470+G478+G480</f>
        <v>11848004</v>
      </c>
      <c r="H468" s="188"/>
      <c r="I468" s="189"/>
      <c r="J468" s="189"/>
      <c r="K468" s="189"/>
      <c r="L468" s="190"/>
    </row>
    <row r="469" spans="1:14" ht="32.25" customHeight="1" thickBot="1" x14ac:dyDescent="0.35">
      <c r="A469" s="21" t="s">
        <v>1093</v>
      </c>
      <c r="B469" s="185" t="s">
        <v>1094</v>
      </c>
      <c r="C469" s="186"/>
      <c r="D469" s="187"/>
      <c r="E469" s="43">
        <v>0</v>
      </c>
      <c r="F469" s="43">
        <v>0</v>
      </c>
      <c r="G469" s="43">
        <v>0</v>
      </c>
      <c r="H469" s="191"/>
      <c r="I469" s="192"/>
      <c r="J469" s="192"/>
      <c r="K469" s="192"/>
      <c r="L469" s="193"/>
    </row>
    <row r="470" spans="1:14" ht="16" thickBot="1" x14ac:dyDescent="0.35">
      <c r="A470" s="117" t="s">
        <v>1095</v>
      </c>
      <c r="B470" s="215" t="s">
        <v>1096</v>
      </c>
      <c r="C470" s="216"/>
      <c r="D470" s="217"/>
      <c r="E470" s="118">
        <f>E471+E472+E474+E476</f>
        <v>7505000</v>
      </c>
      <c r="F470" s="118">
        <f>F471+F472+F474+F476</f>
        <v>9006300</v>
      </c>
      <c r="G470" s="118">
        <f>G471+G472+G474+G476</f>
        <v>9635094</v>
      </c>
      <c r="H470" s="218"/>
      <c r="I470" s="219"/>
      <c r="J470" s="219"/>
      <c r="K470" s="219"/>
      <c r="L470" s="220"/>
    </row>
    <row r="471" spans="1:14" ht="62.5" thickBot="1" x14ac:dyDescent="0.35">
      <c r="A471" s="149" t="s">
        <v>1097</v>
      </c>
      <c r="B471" s="145" t="s">
        <v>1098</v>
      </c>
      <c r="C471" s="145" t="s">
        <v>406</v>
      </c>
      <c r="D471" s="143" t="s">
        <v>337</v>
      </c>
      <c r="E471" s="150">
        <v>50000</v>
      </c>
      <c r="F471" s="150">
        <v>50000</v>
      </c>
      <c r="G471" s="150">
        <v>50000</v>
      </c>
      <c r="H471" s="145" t="s">
        <v>1099</v>
      </c>
      <c r="I471" s="143" t="s">
        <v>961</v>
      </c>
      <c r="J471" s="143" t="s">
        <v>1100</v>
      </c>
      <c r="K471" s="143" t="s">
        <v>1100</v>
      </c>
      <c r="L471" s="151" t="s">
        <v>1100</v>
      </c>
    </row>
    <row r="472" spans="1:14" ht="47.25" customHeight="1" x14ac:dyDescent="0.3">
      <c r="A472" s="303" t="s">
        <v>1101</v>
      </c>
      <c r="B472" s="205" t="s">
        <v>1102</v>
      </c>
      <c r="C472" s="205" t="s">
        <v>406</v>
      </c>
      <c r="D472" s="197" t="s">
        <v>26</v>
      </c>
      <c r="E472" s="317">
        <v>1675000</v>
      </c>
      <c r="F472" s="317">
        <v>1640000</v>
      </c>
      <c r="G472" s="317">
        <v>1340000</v>
      </c>
      <c r="H472" s="93" t="s">
        <v>1103</v>
      </c>
      <c r="I472" s="92" t="s">
        <v>653</v>
      </c>
      <c r="J472" s="92" t="s">
        <v>1104</v>
      </c>
      <c r="K472" s="92" t="s">
        <v>1105</v>
      </c>
      <c r="L472" s="91" t="s">
        <v>1106</v>
      </c>
    </row>
    <row r="473" spans="1:14" ht="47" thickBot="1" x14ac:dyDescent="0.35">
      <c r="A473" s="313"/>
      <c r="B473" s="206"/>
      <c r="C473" s="206"/>
      <c r="D473" s="198"/>
      <c r="E473" s="256"/>
      <c r="F473" s="256"/>
      <c r="G473" s="256"/>
      <c r="H473" s="4" t="s">
        <v>1107</v>
      </c>
      <c r="I473" s="6" t="s">
        <v>31</v>
      </c>
      <c r="J473" s="6" t="s">
        <v>126</v>
      </c>
      <c r="K473" s="6" t="s">
        <v>126</v>
      </c>
      <c r="L473" s="32" t="s">
        <v>126</v>
      </c>
    </row>
    <row r="474" spans="1:14" ht="31" x14ac:dyDescent="0.3">
      <c r="A474" s="302" t="s">
        <v>1108</v>
      </c>
      <c r="B474" s="229" t="s">
        <v>1109</v>
      </c>
      <c r="C474" s="229" t="s">
        <v>406</v>
      </c>
      <c r="D474" s="243" t="s">
        <v>26</v>
      </c>
      <c r="E474" s="301">
        <f>SUM(E475:E475)+4780000</f>
        <v>4780000</v>
      </c>
      <c r="F474" s="301">
        <f>SUM(F475:F475)+6416300</f>
        <v>6416300</v>
      </c>
      <c r="G474" s="301">
        <f>SUM(G475:G475)+7345094</f>
        <v>7345094</v>
      </c>
      <c r="H474" s="3" t="s">
        <v>1110</v>
      </c>
      <c r="I474" s="5" t="s">
        <v>961</v>
      </c>
      <c r="J474" s="5" t="s">
        <v>1111</v>
      </c>
      <c r="K474" s="5" t="s">
        <v>1112</v>
      </c>
      <c r="L474" s="31" t="s">
        <v>1113</v>
      </c>
    </row>
    <row r="475" spans="1:14" ht="47" thickBot="1" x14ac:dyDescent="0.35">
      <c r="A475" s="313"/>
      <c r="B475" s="206"/>
      <c r="C475" s="206"/>
      <c r="D475" s="198"/>
      <c r="E475" s="312"/>
      <c r="F475" s="312"/>
      <c r="G475" s="312"/>
      <c r="H475" s="4" t="s">
        <v>1114</v>
      </c>
      <c r="I475" s="6" t="s">
        <v>31</v>
      </c>
      <c r="J475" s="6" t="s">
        <v>32</v>
      </c>
      <c r="K475" s="6" t="s">
        <v>150</v>
      </c>
      <c r="L475" s="32" t="s">
        <v>150</v>
      </c>
    </row>
    <row r="476" spans="1:14" ht="31" x14ac:dyDescent="0.3">
      <c r="A476" s="302" t="s">
        <v>1115</v>
      </c>
      <c r="B476" s="229" t="s">
        <v>1116</v>
      </c>
      <c r="C476" s="229" t="s">
        <v>223</v>
      </c>
      <c r="D476" s="243" t="s">
        <v>26</v>
      </c>
      <c r="E476" s="301">
        <f>SUM(E477:E477)+1000000</f>
        <v>1000000</v>
      </c>
      <c r="F476" s="301">
        <f>SUM(F477:F477)+900000</f>
        <v>900000</v>
      </c>
      <c r="G476" s="301">
        <f>SUM(G477:G477)+900000</f>
        <v>900000</v>
      </c>
      <c r="H476" s="3" t="s">
        <v>1117</v>
      </c>
      <c r="I476" s="5" t="s">
        <v>28</v>
      </c>
      <c r="J476" s="5" t="s">
        <v>167</v>
      </c>
      <c r="K476" s="5" t="s">
        <v>167</v>
      </c>
      <c r="L476" s="31" t="s">
        <v>167</v>
      </c>
    </row>
    <row r="477" spans="1:14" ht="16" thickBot="1" x14ac:dyDescent="0.35">
      <c r="A477" s="313"/>
      <c r="B477" s="206"/>
      <c r="C477" s="206"/>
      <c r="D477" s="198"/>
      <c r="E477" s="312"/>
      <c r="F477" s="312"/>
      <c r="G477" s="312"/>
      <c r="H477" s="4" t="s">
        <v>1118</v>
      </c>
      <c r="I477" s="6" t="s">
        <v>653</v>
      </c>
      <c r="J477" s="6" t="s">
        <v>1119</v>
      </c>
      <c r="K477" s="6" t="s">
        <v>1120</v>
      </c>
      <c r="L477" s="32" t="s">
        <v>1121</v>
      </c>
    </row>
    <row r="478" spans="1:14" ht="32.25" customHeight="1" x14ac:dyDescent="0.3">
      <c r="A478" s="21" t="s">
        <v>1122</v>
      </c>
      <c r="B478" s="185" t="s">
        <v>1123</v>
      </c>
      <c r="C478" s="186"/>
      <c r="D478" s="187"/>
      <c r="E478" s="39">
        <f t="shared" ref="E478:G478" si="66">SUM(E479:E479)</f>
        <v>0</v>
      </c>
      <c r="F478" s="39">
        <f t="shared" si="66"/>
        <v>0</v>
      </c>
      <c r="G478" s="39">
        <f t="shared" si="66"/>
        <v>0</v>
      </c>
      <c r="H478" s="191"/>
      <c r="I478" s="192"/>
      <c r="J478" s="192"/>
      <c r="K478" s="192"/>
      <c r="L478" s="193"/>
    </row>
    <row r="479" spans="1:14" s="72" customFormat="1" ht="109" thickBot="1" x14ac:dyDescent="0.35">
      <c r="A479" s="172" t="s">
        <v>1124</v>
      </c>
      <c r="B479" s="173" t="s">
        <v>1125</v>
      </c>
      <c r="C479" s="174" t="s">
        <v>1064</v>
      </c>
      <c r="D479" s="175"/>
      <c r="E479" s="111"/>
      <c r="F479" s="111"/>
      <c r="G479" s="111"/>
      <c r="H479" s="173" t="s">
        <v>1126</v>
      </c>
      <c r="I479" s="175" t="s">
        <v>31</v>
      </c>
      <c r="J479" s="175" t="s">
        <v>48</v>
      </c>
      <c r="K479" s="175" t="s">
        <v>48</v>
      </c>
      <c r="L479" s="176" t="s">
        <v>47</v>
      </c>
      <c r="M479" s="356"/>
      <c r="N479" s="357"/>
    </row>
    <row r="480" spans="1:14" ht="48" customHeight="1" thickBot="1" x14ac:dyDescent="0.35">
      <c r="A480" s="170" t="s">
        <v>1127</v>
      </c>
      <c r="B480" s="199" t="s">
        <v>1128</v>
      </c>
      <c r="C480" s="200"/>
      <c r="D480" s="201"/>
      <c r="E480" s="171">
        <f t="shared" ref="E480:G480" si="67">SUM(E481:E481)</f>
        <v>2881945.6999999997</v>
      </c>
      <c r="F480" s="171">
        <f t="shared" si="67"/>
        <v>2112910</v>
      </c>
      <c r="G480" s="171">
        <f t="shared" si="67"/>
        <v>2212910</v>
      </c>
      <c r="H480" s="202"/>
      <c r="I480" s="203"/>
      <c r="J480" s="203"/>
      <c r="K480" s="203"/>
      <c r="L480" s="204"/>
    </row>
    <row r="481" spans="1:12" ht="46.5" x14ac:dyDescent="0.3">
      <c r="A481" s="303" t="s">
        <v>1129</v>
      </c>
      <c r="B481" s="205" t="s">
        <v>1130</v>
      </c>
      <c r="C481" s="205" t="s">
        <v>406</v>
      </c>
      <c r="D481" s="197" t="s">
        <v>268</v>
      </c>
      <c r="E481" s="209">
        <f t="shared" ref="E481:G481" si="68">SUM(E482:E486)</f>
        <v>2881945.6999999997</v>
      </c>
      <c r="F481" s="209">
        <f t="shared" si="68"/>
        <v>2112910</v>
      </c>
      <c r="G481" s="209">
        <f t="shared" si="68"/>
        <v>2212910</v>
      </c>
      <c r="H481" s="104" t="s">
        <v>1131</v>
      </c>
      <c r="I481" s="98" t="s">
        <v>28</v>
      </c>
      <c r="J481" s="98" t="s">
        <v>105</v>
      </c>
      <c r="K481" s="98" t="s">
        <v>105</v>
      </c>
      <c r="L481" s="106" t="s">
        <v>105</v>
      </c>
    </row>
    <row r="482" spans="1:12" ht="31" x14ac:dyDescent="0.3">
      <c r="A482" s="303"/>
      <c r="B482" s="205"/>
      <c r="C482" s="205"/>
      <c r="D482" s="208"/>
      <c r="E482" s="210"/>
      <c r="F482" s="210"/>
      <c r="G482" s="210"/>
      <c r="H482" s="4" t="s">
        <v>1132</v>
      </c>
      <c r="I482" s="6" t="s">
        <v>961</v>
      </c>
      <c r="J482" s="6" t="s">
        <v>129</v>
      </c>
      <c r="K482" s="6" t="s">
        <v>129</v>
      </c>
      <c r="L482" s="32" t="s">
        <v>129</v>
      </c>
    </row>
    <row r="483" spans="1:12" ht="46.5" x14ac:dyDescent="0.3">
      <c r="A483" s="303"/>
      <c r="B483" s="205"/>
      <c r="C483" s="205"/>
      <c r="D483" s="207" t="s">
        <v>26</v>
      </c>
      <c r="E483" s="211">
        <v>2369037.5499999998</v>
      </c>
      <c r="F483" s="211">
        <v>1600000</v>
      </c>
      <c r="G483" s="211">
        <v>1700000</v>
      </c>
      <c r="H483" s="4" t="s">
        <v>1133</v>
      </c>
      <c r="I483" s="6" t="s">
        <v>1134</v>
      </c>
      <c r="J483" s="6" t="s">
        <v>408</v>
      </c>
      <c r="K483" s="6" t="s">
        <v>408</v>
      </c>
      <c r="L483" s="32" t="s">
        <v>408</v>
      </c>
    </row>
    <row r="484" spans="1:12" ht="59.25" customHeight="1" x14ac:dyDescent="0.3">
      <c r="A484" s="303"/>
      <c r="B484" s="205"/>
      <c r="C484" s="205"/>
      <c r="D484" s="208"/>
      <c r="E484" s="212"/>
      <c r="F484" s="212"/>
      <c r="G484" s="212"/>
      <c r="H484" s="4" t="s">
        <v>1135</v>
      </c>
      <c r="I484" s="6" t="s">
        <v>31</v>
      </c>
      <c r="J484" s="6" t="s">
        <v>1136</v>
      </c>
      <c r="K484" s="6" t="s">
        <v>1136</v>
      </c>
      <c r="L484" s="32" t="s">
        <v>1136</v>
      </c>
    </row>
    <row r="485" spans="1:12" ht="31" x14ac:dyDescent="0.3">
      <c r="A485" s="303"/>
      <c r="B485" s="205"/>
      <c r="C485" s="205"/>
      <c r="D485" s="207" t="s">
        <v>337</v>
      </c>
      <c r="E485" s="211">
        <v>512908.15</v>
      </c>
      <c r="F485" s="211">
        <v>512910</v>
      </c>
      <c r="G485" s="211">
        <v>512910</v>
      </c>
      <c r="H485" s="4" t="s">
        <v>1137</v>
      </c>
      <c r="I485" s="6" t="s">
        <v>31</v>
      </c>
      <c r="J485" s="6" t="s">
        <v>987</v>
      </c>
      <c r="K485" s="6" t="s">
        <v>987</v>
      </c>
      <c r="L485" s="32" t="s">
        <v>987</v>
      </c>
    </row>
    <row r="486" spans="1:12" ht="47" thickBot="1" x14ac:dyDescent="0.35">
      <c r="A486" s="313"/>
      <c r="B486" s="206"/>
      <c r="C486" s="206"/>
      <c r="D486" s="198"/>
      <c r="E486" s="256"/>
      <c r="F486" s="256"/>
      <c r="G486" s="256"/>
      <c r="H486" s="4" t="s">
        <v>1138</v>
      </c>
      <c r="I486" s="6" t="s">
        <v>31</v>
      </c>
      <c r="J486" s="6" t="s">
        <v>1084</v>
      </c>
      <c r="K486" s="6" t="s">
        <v>848</v>
      </c>
      <c r="L486" s="32" t="s">
        <v>846</v>
      </c>
    </row>
    <row r="487" spans="1:12" ht="32.25" customHeight="1" thickBot="1" x14ac:dyDescent="0.35">
      <c r="A487" s="20" t="s">
        <v>1139</v>
      </c>
      <c r="B487" s="194" t="s">
        <v>1140</v>
      </c>
      <c r="C487" s="195"/>
      <c r="D487" s="196"/>
      <c r="E487" s="38">
        <f t="shared" ref="E487:G487" si="69">E488+E489+E490+E491+E497</f>
        <v>78417</v>
      </c>
      <c r="F487" s="38">
        <f t="shared" si="69"/>
        <v>101453.4</v>
      </c>
      <c r="G487" s="38">
        <f t="shared" si="69"/>
        <v>101453.4</v>
      </c>
      <c r="H487" s="188"/>
      <c r="I487" s="189"/>
      <c r="J487" s="189"/>
      <c r="K487" s="189"/>
      <c r="L487" s="190"/>
    </row>
    <row r="488" spans="1:12" ht="32.25" customHeight="1" thickBot="1" x14ac:dyDescent="0.35">
      <c r="A488" s="21" t="s">
        <v>1141</v>
      </c>
      <c r="B488" s="185" t="s">
        <v>1142</v>
      </c>
      <c r="C488" s="186"/>
      <c r="D488" s="187"/>
      <c r="E488" s="43">
        <v>0</v>
      </c>
      <c r="F488" s="43">
        <v>0</v>
      </c>
      <c r="G488" s="43">
        <v>0</v>
      </c>
      <c r="H488" s="191"/>
      <c r="I488" s="192"/>
      <c r="J488" s="192"/>
      <c r="K488" s="192"/>
      <c r="L488" s="193"/>
    </row>
    <row r="489" spans="1:12" ht="63.75" customHeight="1" thickBot="1" x14ac:dyDescent="0.35">
      <c r="A489" s="21" t="s">
        <v>1143</v>
      </c>
      <c r="B489" s="185" t="s">
        <v>1144</v>
      </c>
      <c r="C489" s="186"/>
      <c r="D489" s="187"/>
      <c r="E489" s="43">
        <v>0</v>
      </c>
      <c r="F489" s="43">
        <v>0</v>
      </c>
      <c r="G489" s="43">
        <v>0</v>
      </c>
      <c r="H489" s="191"/>
      <c r="I489" s="192"/>
      <c r="J489" s="192"/>
      <c r="K489" s="192"/>
      <c r="L489" s="193"/>
    </row>
    <row r="490" spans="1:12" ht="79.5" customHeight="1" thickBot="1" x14ac:dyDescent="0.35">
      <c r="A490" s="21" t="s">
        <v>1145</v>
      </c>
      <c r="B490" s="185" t="s">
        <v>1146</v>
      </c>
      <c r="C490" s="186"/>
      <c r="D490" s="187"/>
      <c r="E490" s="43">
        <v>0</v>
      </c>
      <c r="F490" s="43">
        <v>0</v>
      </c>
      <c r="G490" s="43">
        <v>0</v>
      </c>
      <c r="H490" s="191"/>
      <c r="I490" s="192"/>
      <c r="J490" s="192"/>
      <c r="K490" s="192"/>
      <c r="L490" s="193"/>
    </row>
    <row r="491" spans="1:12" ht="48" customHeight="1" thickBot="1" x14ac:dyDescent="0.35">
      <c r="A491" s="21" t="s">
        <v>1147</v>
      </c>
      <c r="B491" s="185" t="s">
        <v>1148</v>
      </c>
      <c r="C491" s="186"/>
      <c r="D491" s="187"/>
      <c r="E491" s="39">
        <f t="shared" ref="E491:G491" si="70">SUM(E492:E494)</f>
        <v>78417</v>
      </c>
      <c r="F491" s="39">
        <f t="shared" si="70"/>
        <v>101453.4</v>
      </c>
      <c r="G491" s="39">
        <f t="shared" si="70"/>
        <v>101453.4</v>
      </c>
      <c r="H491" s="191"/>
      <c r="I491" s="192"/>
      <c r="J491" s="192"/>
      <c r="K491" s="192"/>
      <c r="L491" s="193"/>
    </row>
    <row r="492" spans="1:12" ht="47" thickBot="1" x14ac:dyDescent="0.35">
      <c r="A492" s="22" t="s">
        <v>1149</v>
      </c>
      <c r="B492" s="3" t="s">
        <v>1150</v>
      </c>
      <c r="C492" s="3" t="s">
        <v>1009</v>
      </c>
      <c r="D492" s="5" t="s">
        <v>26</v>
      </c>
      <c r="E492" s="42">
        <v>0</v>
      </c>
      <c r="F492" s="42">
        <v>20000</v>
      </c>
      <c r="G492" s="42">
        <v>20000</v>
      </c>
      <c r="H492" s="3" t="s">
        <v>1151</v>
      </c>
      <c r="I492" s="5" t="s">
        <v>31</v>
      </c>
      <c r="J492" s="5" t="s">
        <v>48</v>
      </c>
      <c r="K492" s="5" t="s">
        <v>60</v>
      </c>
      <c r="L492" s="31" t="s">
        <v>60</v>
      </c>
    </row>
    <row r="493" spans="1:12" ht="93.5" thickBot="1" x14ac:dyDescent="0.35">
      <c r="A493" s="82" t="s">
        <v>1152</v>
      </c>
      <c r="B493" s="80" t="s">
        <v>1153</v>
      </c>
      <c r="C493" s="80" t="s">
        <v>72</v>
      </c>
      <c r="D493" s="78" t="s">
        <v>418</v>
      </c>
      <c r="E493" s="90">
        <v>48417</v>
      </c>
      <c r="F493" s="90">
        <v>0</v>
      </c>
      <c r="G493" s="90">
        <v>0</v>
      </c>
      <c r="H493" s="80" t="s">
        <v>301</v>
      </c>
      <c r="I493" s="78" t="s">
        <v>28</v>
      </c>
      <c r="J493" s="78" t="s">
        <v>712</v>
      </c>
      <c r="K493" s="78" t="s">
        <v>48</v>
      </c>
      <c r="L493" s="84" t="s">
        <v>48</v>
      </c>
    </row>
    <row r="494" spans="1:12" ht="33" customHeight="1" thickBot="1" x14ac:dyDescent="0.35">
      <c r="A494" s="140" t="s">
        <v>1154</v>
      </c>
      <c r="B494" s="141" t="s">
        <v>1155</v>
      </c>
      <c r="C494" s="141" t="s">
        <v>72</v>
      </c>
      <c r="D494" s="143" t="s">
        <v>268</v>
      </c>
      <c r="E494" s="144">
        <f t="shared" ref="E494:G494" si="71">SUM(E495:E496)</f>
        <v>30000</v>
      </c>
      <c r="F494" s="144">
        <f t="shared" si="71"/>
        <v>81453.399999999994</v>
      </c>
      <c r="G494" s="144">
        <f t="shared" si="71"/>
        <v>81453.399999999994</v>
      </c>
      <c r="H494" s="141" t="s">
        <v>301</v>
      </c>
      <c r="I494" s="143" t="s">
        <v>28</v>
      </c>
      <c r="J494" s="143" t="s">
        <v>140</v>
      </c>
      <c r="K494" s="143" t="s">
        <v>140</v>
      </c>
      <c r="L494" s="151" t="s">
        <v>129</v>
      </c>
    </row>
    <row r="495" spans="1:12" ht="33" customHeight="1" x14ac:dyDescent="0.3">
      <c r="A495" s="350"/>
      <c r="B495" s="197"/>
      <c r="C495" s="197"/>
      <c r="D495" s="92" t="s">
        <v>418</v>
      </c>
      <c r="E495" s="95">
        <v>0</v>
      </c>
      <c r="F495" s="95">
        <v>77162.7</v>
      </c>
      <c r="G495" s="95">
        <v>77162.7</v>
      </c>
      <c r="H495" s="197"/>
      <c r="I495" s="197"/>
      <c r="J495" s="197"/>
      <c r="K495" s="197"/>
      <c r="L495" s="270"/>
    </row>
    <row r="496" spans="1:12" ht="33" customHeight="1" thickBot="1" x14ac:dyDescent="0.35">
      <c r="A496" s="351"/>
      <c r="B496" s="198"/>
      <c r="C496" s="198"/>
      <c r="D496" s="6" t="s">
        <v>26</v>
      </c>
      <c r="E496" s="40">
        <v>30000</v>
      </c>
      <c r="F496" s="40">
        <v>4290.7</v>
      </c>
      <c r="G496" s="40">
        <v>4290.7</v>
      </c>
      <c r="H496" s="198"/>
      <c r="I496" s="198"/>
      <c r="J496" s="198"/>
      <c r="K496" s="198"/>
      <c r="L496" s="251"/>
    </row>
    <row r="497" spans="1:12" ht="79.5" customHeight="1" thickBot="1" x14ac:dyDescent="0.35">
      <c r="A497" s="21" t="s">
        <v>1156</v>
      </c>
      <c r="B497" s="185" t="s">
        <v>1157</v>
      </c>
      <c r="C497" s="186"/>
      <c r="D497" s="187"/>
      <c r="E497" s="43">
        <v>0</v>
      </c>
      <c r="F497" s="43">
        <v>0</v>
      </c>
      <c r="G497" s="43">
        <v>0</v>
      </c>
      <c r="H497" s="191"/>
      <c r="I497" s="192"/>
      <c r="J497" s="192"/>
      <c r="K497" s="192"/>
      <c r="L497" s="193"/>
    </row>
    <row r="498" spans="1:12" ht="16" thickBot="1" x14ac:dyDescent="0.35">
      <c r="A498" s="20" t="s">
        <v>1158</v>
      </c>
      <c r="B498" s="194" t="s">
        <v>1159</v>
      </c>
      <c r="C498" s="195"/>
      <c r="D498" s="196"/>
      <c r="E498" s="38">
        <f t="shared" ref="E498:G498" si="72">SUM(E499:E501)</f>
        <v>0</v>
      </c>
      <c r="F498" s="38">
        <f t="shared" si="72"/>
        <v>0</v>
      </c>
      <c r="G498" s="38">
        <f t="shared" si="72"/>
        <v>0</v>
      </c>
      <c r="H498" s="188"/>
      <c r="I498" s="189"/>
      <c r="J498" s="189"/>
      <c r="K498" s="189"/>
      <c r="L498" s="190"/>
    </row>
    <row r="499" spans="1:12" ht="16" thickBot="1" x14ac:dyDescent="0.35">
      <c r="A499" s="21" t="s">
        <v>1160</v>
      </c>
      <c r="B499" s="185" t="s">
        <v>1161</v>
      </c>
      <c r="C499" s="186"/>
      <c r="D499" s="187"/>
      <c r="E499" s="43">
        <v>0</v>
      </c>
      <c r="F499" s="43">
        <v>0</v>
      </c>
      <c r="G499" s="43">
        <v>0</v>
      </c>
      <c r="H499" s="191"/>
      <c r="I499" s="192"/>
      <c r="J499" s="192"/>
      <c r="K499" s="192"/>
      <c r="L499" s="193"/>
    </row>
    <row r="500" spans="1:12" ht="16" thickBot="1" x14ac:dyDescent="0.35">
      <c r="A500" s="21" t="s">
        <v>1162</v>
      </c>
      <c r="B500" s="185" t="s">
        <v>1163</v>
      </c>
      <c r="C500" s="186"/>
      <c r="D500" s="187"/>
      <c r="E500" s="43">
        <v>0</v>
      </c>
      <c r="F500" s="43">
        <v>0</v>
      </c>
      <c r="G500" s="43">
        <v>0</v>
      </c>
      <c r="H500" s="191"/>
      <c r="I500" s="192"/>
      <c r="J500" s="192"/>
      <c r="K500" s="192"/>
      <c r="L500" s="193"/>
    </row>
    <row r="501" spans="1:12" ht="32.25" customHeight="1" thickBot="1" x14ac:dyDescent="0.35">
      <c r="A501" s="25" t="s">
        <v>1164</v>
      </c>
      <c r="B501" s="185" t="s">
        <v>1165</v>
      </c>
      <c r="C501" s="186"/>
      <c r="D501" s="187"/>
      <c r="E501" s="48">
        <v>0</v>
      </c>
      <c r="F501" s="48">
        <v>0</v>
      </c>
      <c r="G501" s="48">
        <v>0</v>
      </c>
      <c r="H501" s="191"/>
      <c r="I501" s="192"/>
      <c r="J501" s="192"/>
      <c r="K501" s="192"/>
      <c r="L501" s="193"/>
    </row>
    <row r="502" spans="1:12" s="17" customFormat="1" x14ac:dyDescent="0.3">
      <c r="A502" s="16"/>
      <c r="B502" s="16"/>
      <c r="C502" s="16"/>
      <c r="D502" s="15"/>
      <c r="E502" s="49"/>
      <c r="F502" s="49"/>
      <c r="G502" s="49"/>
      <c r="H502" s="16"/>
      <c r="I502" s="15"/>
      <c r="J502" s="15"/>
      <c r="K502" s="15"/>
      <c r="L502" s="15"/>
    </row>
    <row r="503" spans="1:12" s="17" customFormat="1" ht="14.5" thickBot="1" x14ac:dyDescent="0.35">
      <c r="A503" s="16"/>
      <c r="B503" s="16"/>
      <c r="C503" s="16"/>
      <c r="D503" s="30"/>
      <c r="E503" s="50"/>
      <c r="F503" s="50"/>
      <c r="G503" s="50"/>
      <c r="H503" s="16"/>
      <c r="I503" s="15"/>
      <c r="J503" s="15"/>
      <c r="K503" s="15"/>
      <c r="L503" s="15"/>
    </row>
    <row r="504" spans="1:12" s="17" customFormat="1" x14ac:dyDescent="0.3">
      <c r="A504" s="16"/>
      <c r="B504" s="16"/>
      <c r="C504" s="16"/>
      <c r="D504" s="15"/>
      <c r="E504" s="49"/>
      <c r="F504" s="49"/>
      <c r="G504" s="49"/>
      <c r="H504" s="16"/>
      <c r="I504" s="15"/>
      <c r="J504" s="15"/>
      <c r="K504" s="15"/>
      <c r="L504" s="15"/>
    </row>
    <row r="505" spans="1:12" s="17" customFormat="1" x14ac:dyDescent="0.3">
      <c r="A505" s="16"/>
      <c r="B505" s="16"/>
      <c r="C505" s="16"/>
      <c r="D505" s="15"/>
      <c r="E505" s="49"/>
      <c r="F505" s="49"/>
      <c r="G505" s="49"/>
      <c r="H505" s="16"/>
      <c r="I505" s="15"/>
      <c r="J505" s="15"/>
      <c r="K505" s="15"/>
      <c r="L505" s="15"/>
    </row>
  </sheetData>
  <mergeCells count="851">
    <mergeCell ref="A170:A173"/>
    <mergeCell ref="A177:A183"/>
    <mergeCell ref="B177:B183"/>
    <mergeCell ref="C177:C183"/>
    <mergeCell ref="D177:D183"/>
    <mergeCell ref="E177:E183"/>
    <mergeCell ref="F177:F183"/>
    <mergeCell ref="G177:G183"/>
    <mergeCell ref="A184:A194"/>
    <mergeCell ref="B184:B194"/>
    <mergeCell ref="C184:C194"/>
    <mergeCell ref="D184:D194"/>
    <mergeCell ref="E184:E194"/>
    <mergeCell ref="F184:F194"/>
    <mergeCell ref="G184:G194"/>
    <mergeCell ref="G170:G173"/>
    <mergeCell ref="F170:F173"/>
    <mergeCell ref="E170:E173"/>
    <mergeCell ref="D170:D173"/>
    <mergeCell ref="C170:C173"/>
    <mergeCell ref="E128:E134"/>
    <mergeCell ref="F128:F134"/>
    <mergeCell ref="G128:G134"/>
    <mergeCell ref="A162:A169"/>
    <mergeCell ref="B162:B169"/>
    <mergeCell ref="C162:C169"/>
    <mergeCell ref="D162:D169"/>
    <mergeCell ref="E162:E169"/>
    <mergeCell ref="F162:F169"/>
    <mergeCell ref="G162:G169"/>
    <mergeCell ref="A157:A159"/>
    <mergeCell ref="A160:A161"/>
    <mergeCell ref="B144:B145"/>
    <mergeCell ref="A144:A145"/>
    <mergeCell ref="C144:C145"/>
    <mergeCell ref="D144:D145"/>
    <mergeCell ref="E144:E145"/>
    <mergeCell ref="F144:F145"/>
    <mergeCell ref="G144:G145"/>
    <mergeCell ref="C152:C154"/>
    <mergeCell ref="B152:B154"/>
    <mergeCell ref="A152:A154"/>
    <mergeCell ref="B141:B143"/>
    <mergeCell ref="A141:A143"/>
    <mergeCell ref="A495:A496"/>
    <mergeCell ref="L495:L496"/>
    <mergeCell ref="K495:K496"/>
    <mergeCell ref="J495:J496"/>
    <mergeCell ref="I495:I496"/>
    <mergeCell ref="H495:H496"/>
    <mergeCell ref="F56:F60"/>
    <mergeCell ref="E56:E60"/>
    <mergeCell ref="D56:D60"/>
    <mergeCell ref="C56:C60"/>
    <mergeCell ref="B56:B60"/>
    <mergeCell ref="A56:A60"/>
    <mergeCell ref="G56:G60"/>
    <mergeCell ref="A90:A91"/>
    <mergeCell ref="B90:B91"/>
    <mergeCell ref="C90:C91"/>
    <mergeCell ref="G90:G91"/>
    <mergeCell ref="F90:F91"/>
    <mergeCell ref="E90:E91"/>
    <mergeCell ref="D90:D91"/>
    <mergeCell ref="A102:A103"/>
    <mergeCell ref="B102:B103"/>
    <mergeCell ref="C102:C103"/>
    <mergeCell ref="G135:G138"/>
    <mergeCell ref="M102:N104"/>
    <mergeCell ref="M147:N147"/>
    <mergeCell ref="M273:N273"/>
    <mergeCell ref="M281:N281"/>
    <mergeCell ref="M284:M286"/>
    <mergeCell ref="M158:N158"/>
    <mergeCell ref="M463:M466"/>
    <mergeCell ref="M479:N479"/>
    <mergeCell ref="M75:N75"/>
    <mergeCell ref="E37:E41"/>
    <mergeCell ref="D37:D41"/>
    <mergeCell ref="C37:C41"/>
    <mergeCell ref="B37:B41"/>
    <mergeCell ref="L268:L269"/>
    <mergeCell ref="K268:K269"/>
    <mergeCell ref="J268:J269"/>
    <mergeCell ref="I268:I269"/>
    <mergeCell ref="H268:H269"/>
    <mergeCell ref="B248:B251"/>
    <mergeCell ref="B225:B227"/>
    <mergeCell ref="B222:B224"/>
    <mergeCell ref="B210:D210"/>
    <mergeCell ref="C157:C159"/>
    <mergeCell ref="D157:D159"/>
    <mergeCell ref="E157:E159"/>
    <mergeCell ref="F157:F159"/>
    <mergeCell ref="G157:G159"/>
    <mergeCell ref="B160:B161"/>
    <mergeCell ref="C160:C161"/>
    <mergeCell ref="D160:D161"/>
    <mergeCell ref="E160:E161"/>
    <mergeCell ref="F160:F161"/>
    <mergeCell ref="G160:G161"/>
    <mergeCell ref="L417:L418"/>
    <mergeCell ref="K417:K418"/>
    <mergeCell ref="J417:J418"/>
    <mergeCell ref="I417:I418"/>
    <mergeCell ref="H417:H418"/>
    <mergeCell ref="A481:A486"/>
    <mergeCell ref="G485:G486"/>
    <mergeCell ref="F485:F486"/>
    <mergeCell ref="E485:E486"/>
    <mergeCell ref="C474:C475"/>
    <mergeCell ref="B474:B475"/>
    <mergeCell ref="A474:A475"/>
    <mergeCell ref="G476:G477"/>
    <mergeCell ref="F476:F477"/>
    <mergeCell ref="E476:E477"/>
    <mergeCell ref="D476:D477"/>
    <mergeCell ref="C476:C477"/>
    <mergeCell ref="B476:B477"/>
    <mergeCell ref="A476:A477"/>
    <mergeCell ref="G474:G475"/>
    <mergeCell ref="F474:F475"/>
    <mergeCell ref="E474:E475"/>
    <mergeCell ref="D474:D475"/>
    <mergeCell ref="L465:L466"/>
    <mergeCell ref="B472:B473"/>
    <mergeCell ref="A472:A473"/>
    <mergeCell ref="B469:D469"/>
    <mergeCell ref="H469:L469"/>
    <mergeCell ref="B470:D470"/>
    <mergeCell ref="H470:L470"/>
    <mergeCell ref="C464:C466"/>
    <mergeCell ref="B464:B466"/>
    <mergeCell ref="A464:A466"/>
    <mergeCell ref="K465:K466"/>
    <mergeCell ref="J465:J466"/>
    <mergeCell ref="I465:I466"/>
    <mergeCell ref="H465:H466"/>
    <mergeCell ref="G472:G473"/>
    <mergeCell ref="F472:F473"/>
    <mergeCell ref="E472:E473"/>
    <mergeCell ref="D472:D473"/>
    <mergeCell ref="C472:C473"/>
    <mergeCell ref="A455:A458"/>
    <mergeCell ref="C455:C458"/>
    <mergeCell ref="D455:D458"/>
    <mergeCell ref="E455:E458"/>
    <mergeCell ref="F455:F458"/>
    <mergeCell ref="G455:G458"/>
    <mergeCell ref="B459:B460"/>
    <mergeCell ref="A459:A460"/>
    <mergeCell ref="C459:C460"/>
    <mergeCell ref="D459:D460"/>
    <mergeCell ref="E459:E460"/>
    <mergeCell ref="F459:F460"/>
    <mergeCell ref="G459:G460"/>
    <mergeCell ref="A450:A452"/>
    <mergeCell ref="L451:L452"/>
    <mergeCell ref="K451:K452"/>
    <mergeCell ref="J451:J452"/>
    <mergeCell ref="I451:I452"/>
    <mergeCell ref="H451:H452"/>
    <mergeCell ref="A436:A439"/>
    <mergeCell ref="G438:G439"/>
    <mergeCell ref="F438:F439"/>
    <mergeCell ref="E438:E439"/>
    <mergeCell ref="D438:D439"/>
    <mergeCell ref="B442:B445"/>
    <mergeCell ref="A442:A445"/>
    <mergeCell ref="C442:C445"/>
    <mergeCell ref="D442:D445"/>
    <mergeCell ref="E442:E445"/>
    <mergeCell ref="F442:F445"/>
    <mergeCell ref="G442:G445"/>
    <mergeCell ref="B446:D446"/>
    <mergeCell ref="H446:L446"/>
    <mergeCell ref="B447:D447"/>
    <mergeCell ref="H447:L447"/>
    <mergeCell ref="B448:D448"/>
    <mergeCell ref="H448:L448"/>
    <mergeCell ref="G419:G420"/>
    <mergeCell ref="B433:B434"/>
    <mergeCell ref="A433:A434"/>
    <mergeCell ref="C433:C434"/>
    <mergeCell ref="D433:D434"/>
    <mergeCell ref="E433:E434"/>
    <mergeCell ref="F433:F434"/>
    <mergeCell ref="G433:G434"/>
    <mergeCell ref="C416:C418"/>
    <mergeCell ref="B416:B418"/>
    <mergeCell ref="A416:A418"/>
    <mergeCell ref="C419:C420"/>
    <mergeCell ref="B419:B420"/>
    <mergeCell ref="A419:A420"/>
    <mergeCell ref="D419:D420"/>
    <mergeCell ref="E419:E420"/>
    <mergeCell ref="F419:F420"/>
    <mergeCell ref="B425:D425"/>
    <mergeCell ref="B429:D429"/>
    <mergeCell ref="J407:J408"/>
    <mergeCell ref="K407:K408"/>
    <mergeCell ref="L407:L408"/>
    <mergeCell ref="C410:C413"/>
    <mergeCell ref="B410:B413"/>
    <mergeCell ref="A410:A413"/>
    <mergeCell ref="L410:L411"/>
    <mergeCell ref="K410:K411"/>
    <mergeCell ref="J410:J411"/>
    <mergeCell ref="I410:I411"/>
    <mergeCell ref="H410:H411"/>
    <mergeCell ref="L412:L413"/>
    <mergeCell ref="K412:K413"/>
    <mergeCell ref="J412:J413"/>
    <mergeCell ref="I412:I413"/>
    <mergeCell ref="H412:H413"/>
    <mergeCell ref="A402:A404"/>
    <mergeCell ref="C402:C404"/>
    <mergeCell ref="D402:D404"/>
    <mergeCell ref="E402:E404"/>
    <mergeCell ref="F402:F404"/>
    <mergeCell ref="G402:G404"/>
    <mergeCell ref="B405:B408"/>
    <mergeCell ref="A405:A408"/>
    <mergeCell ref="C405:C408"/>
    <mergeCell ref="A396:A398"/>
    <mergeCell ref="C396:C398"/>
    <mergeCell ref="H396:H398"/>
    <mergeCell ref="I396:I398"/>
    <mergeCell ref="J396:J398"/>
    <mergeCell ref="K396:K398"/>
    <mergeCell ref="L396:L398"/>
    <mergeCell ref="B399:B400"/>
    <mergeCell ref="A399:A400"/>
    <mergeCell ref="C399:C400"/>
    <mergeCell ref="D399:D400"/>
    <mergeCell ref="E399:E400"/>
    <mergeCell ref="F399:F400"/>
    <mergeCell ref="G399:G400"/>
    <mergeCell ref="A392:A393"/>
    <mergeCell ref="C392:C393"/>
    <mergeCell ref="D392:D393"/>
    <mergeCell ref="E392:E393"/>
    <mergeCell ref="F392:F393"/>
    <mergeCell ref="G392:G393"/>
    <mergeCell ref="B394:B395"/>
    <mergeCell ref="A394:A395"/>
    <mergeCell ref="C394:C395"/>
    <mergeCell ref="D394:D395"/>
    <mergeCell ref="E394:E395"/>
    <mergeCell ref="F394:F395"/>
    <mergeCell ref="G394:G395"/>
    <mergeCell ref="A382:A383"/>
    <mergeCell ref="C382:C383"/>
    <mergeCell ref="D382:D383"/>
    <mergeCell ref="E382:E383"/>
    <mergeCell ref="F382:F383"/>
    <mergeCell ref="G382:G383"/>
    <mergeCell ref="B385:B387"/>
    <mergeCell ref="A385:A387"/>
    <mergeCell ref="C385:C387"/>
    <mergeCell ref="D385:D387"/>
    <mergeCell ref="E385:E387"/>
    <mergeCell ref="F385:F387"/>
    <mergeCell ref="G385:G387"/>
    <mergeCell ref="A378:A381"/>
    <mergeCell ref="C378:C381"/>
    <mergeCell ref="D378:D381"/>
    <mergeCell ref="E378:E381"/>
    <mergeCell ref="F378:F381"/>
    <mergeCell ref="G378:G381"/>
    <mergeCell ref="A370:A371"/>
    <mergeCell ref="C370:C371"/>
    <mergeCell ref="D370:D371"/>
    <mergeCell ref="E370:E371"/>
    <mergeCell ref="F370:F371"/>
    <mergeCell ref="G370:G371"/>
    <mergeCell ref="B374:B375"/>
    <mergeCell ref="A374:A375"/>
    <mergeCell ref="C374:C375"/>
    <mergeCell ref="D374:D375"/>
    <mergeCell ref="E374:E375"/>
    <mergeCell ref="F374:F375"/>
    <mergeCell ref="G374:G375"/>
    <mergeCell ref="A355:A357"/>
    <mergeCell ref="B358:B362"/>
    <mergeCell ref="A358:A362"/>
    <mergeCell ref="C358:C362"/>
    <mergeCell ref="D358:D362"/>
    <mergeCell ref="E358:E362"/>
    <mergeCell ref="F358:F362"/>
    <mergeCell ref="G358:G362"/>
    <mergeCell ref="B365:B368"/>
    <mergeCell ref="A365:A368"/>
    <mergeCell ref="C365:C368"/>
    <mergeCell ref="D365:D368"/>
    <mergeCell ref="E365:E368"/>
    <mergeCell ref="F365:F368"/>
    <mergeCell ref="G365:G368"/>
    <mergeCell ref="B363:D363"/>
    <mergeCell ref="A346:A350"/>
    <mergeCell ref="C346:C350"/>
    <mergeCell ref="D346:D350"/>
    <mergeCell ref="E346:E350"/>
    <mergeCell ref="F346:F350"/>
    <mergeCell ref="G346:G350"/>
    <mergeCell ref="C352:C353"/>
    <mergeCell ref="B352:B353"/>
    <mergeCell ref="A352:A353"/>
    <mergeCell ref="D352:D353"/>
    <mergeCell ref="E352:E353"/>
    <mergeCell ref="F352:F353"/>
    <mergeCell ref="G352:G353"/>
    <mergeCell ref="A333:A335"/>
    <mergeCell ref="B341:B345"/>
    <mergeCell ref="A341:A345"/>
    <mergeCell ref="C341:C345"/>
    <mergeCell ref="D341:D345"/>
    <mergeCell ref="E341:E345"/>
    <mergeCell ref="F341:F345"/>
    <mergeCell ref="G341:G345"/>
    <mergeCell ref="A325:A326"/>
    <mergeCell ref="C328:C330"/>
    <mergeCell ref="B328:B330"/>
    <mergeCell ref="A328:A330"/>
    <mergeCell ref="B332:D332"/>
    <mergeCell ref="B337:D337"/>
    <mergeCell ref="B325:B326"/>
    <mergeCell ref="C333:C335"/>
    <mergeCell ref="B333:B335"/>
    <mergeCell ref="C314:C315"/>
    <mergeCell ref="B314:B315"/>
    <mergeCell ref="A314:A315"/>
    <mergeCell ref="D314:D315"/>
    <mergeCell ref="E314:E315"/>
    <mergeCell ref="F314:F315"/>
    <mergeCell ref="G314:G315"/>
    <mergeCell ref="B323:B324"/>
    <mergeCell ref="A323:A324"/>
    <mergeCell ref="C323:C324"/>
    <mergeCell ref="D323:D324"/>
    <mergeCell ref="E323:E324"/>
    <mergeCell ref="F323:F324"/>
    <mergeCell ref="G323:G324"/>
    <mergeCell ref="B322:D322"/>
    <mergeCell ref="B317:D317"/>
    <mergeCell ref="B318:D318"/>
    <mergeCell ref="B319:D319"/>
    <mergeCell ref="B320:D320"/>
    <mergeCell ref="A300:A302"/>
    <mergeCell ref="A303:A305"/>
    <mergeCell ref="H303:H305"/>
    <mergeCell ref="I303:I305"/>
    <mergeCell ref="J303:J305"/>
    <mergeCell ref="K303:K305"/>
    <mergeCell ref="L303:L305"/>
    <mergeCell ref="B310:B312"/>
    <mergeCell ref="A310:A312"/>
    <mergeCell ref="C310:C312"/>
    <mergeCell ref="B308:D308"/>
    <mergeCell ref="B309:D309"/>
    <mergeCell ref="H307:L307"/>
    <mergeCell ref="H308:L308"/>
    <mergeCell ref="H309:L309"/>
    <mergeCell ref="G294:G295"/>
    <mergeCell ref="F294:F295"/>
    <mergeCell ref="E294:E295"/>
    <mergeCell ref="D294:D295"/>
    <mergeCell ref="C294:C295"/>
    <mergeCell ref="B294:B295"/>
    <mergeCell ref="A294:A295"/>
    <mergeCell ref="A298:A299"/>
    <mergeCell ref="C298:C299"/>
    <mergeCell ref="D298:D299"/>
    <mergeCell ref="E298:E299"/>
    <mergeCell ref="F298:F299"/>
    <mergeCell ref="G298:G299"/>
    <mergeCell ref="B297:D297"/>
    <mergeCell ref="C284:C286"/>
    <mergeCell ref="B284:B286"/>
    <mergeCell ref="A284:A286"/>
    <mergeCell ref="L285:L286"/>
    <mergeCell ref="K285:K286"/>
    <mergeCell ref="J285:J286"/>
    <mergeCell ref="I285:I286"/>
    <mergeCell ref="H285:H286"/>
    <mergeCell ref="C287:C288"/>
    <mergeCell ref="B287:B288"/>
    <mergeCell ref="A287:A288"/>
    <mergeCell ref="D287:D288"/>
    <mergeCell ref="E287:E288"/>
    <mergeCell ref="F287:F288"/>
    <mergeCell ref="G287:G288"/>
    <mergeCell ref="B278:B280"/>
    <mergeCell ref="A278:A280"/>
    <mergeCell ref="C281:C283"/>
    <mergeCell ref="B281:B283"/>
    <mergeCell ref="A281:A283"/>
    <mergeCell ref="L281:L283"/>
    <mergeCell ref="K281:K283"/>
    <mergeCell ref="J281:J283"/>
    <mergeCell ref="I281:I283"/>
    <mergeCell ref="H281:H283"/>
    <mergeCell ref="A267:A269"/>
    <mergeCell ref="C273:C276"/>
    <mergeCell ref="B273:B276"/>
    <mergeCell ref="A273:A276"/>
    <mergeCell ref="A262:A266"/>
    <mergeCell ref="C262:C266"/>
    <mergeCell ref="G262:G263"/>
    <mergeCell ref="F262:F263"/>
    <mergeCell ref="E262:E263"/>
    <mergeCell ref="D262:D263"/>
    <mergeCell ref="G265:G266"/>
    <mergeCell ref="F265:F266"/>
    <mergeCell ref="E265:E266"/>
    <mergeCell ref="D265:D266"/>
    <mergeCell ref="B272:D272"/>
    <mergeCell ref="A252:A253"/>
    <mergeCell ref="C252:C253"/>
    <mergeCell ref="D252:D253"/>
    <mergeCell ref="E252:E253"/>
    <mergeCell ref="F252:F253"/>
    <mergeCell ref="G252:G253"/>
    <mergeCell ref="G259:G260"/>
    <mergeCell ref="F259:F260"/>
    <mergeCell ref="E259:E260"/>
    <mergeCell ref="D259:D260"/>
    <mergeCell ref="C259:C260"/>
    <mergeCell ref="B259:B260"/>
    <mergeCell ref="A259:A260"/>
    <mergeCell ref="A248:A251"/>
    <mergeCell ref="C248:C251"/>
    <mergeCell ref="D248:D251"/>
    <mergeCell ref="E248:E251"/>
    <mergeCell ref="F248:F251"/>
    <mergeCell ref="G248:G251"/>
    <mergeCell ref="A235:A243"/>
    <mergeCell ref="C235:C243"/>
    <mergeCell ref="D235:D243"/>
    <mergeCell ref="E235:E243"/>
    <mergeCell ref="F235:F243"/>
    <mergeCell ref="G235:G243"/>
    <mergeCell ref="B244:B245"/>
    <mergeCell ref="A244:A245"/>
    <mergeCell ref="C244:C245"/>
    <mergeCell ref="D244:D245"/>
    <mergeCell ref="E244:E245"/>
    <mergeCell ref="F244:F245"/>
    <mergeCell ref="G244:G245"/>
    <mergeCell ref="A225:A227"/>
    <mergeCell ref="C225:C227"/>
    <mergeCell ref="D225:D227"/>
    <mergeCell ref="E225:E227"/>
    <mergeCell ref="F225:F227"/>
    <mergeCell ref="G225:G227"/>
    <mergeCell ref="G230:G233"/>
    <mergeCell ref="F230:F233"/>
    <mergeCell ref="E230:E233"/>
    <mergeCell ref="D230:D233"/>
    <mergeCell ref="C230:C233"/>
    <mergeCell ref="B230:B233"/>
    <mergeCell ref="A230:A233"/>
    <mergeCell ref="A222:A224"/>
    <mergeCell ref="C222:C224"/>
    <mergeCell ref="D222:D224"/>
    <mergeCell ref="E222:E224"/>
    <mergeCell ref="F222:F224"/>
    <mergeCell ref="G222:G224"/>
    <mergeCell ref="B211:B213"/>
    <mergeCell ref="A211:A213"/>
    <mergeCell ref="C211:C213"/>
    <mergeCell ref="D211:D213"/>
    <mergeCell ref="E211:E213"/>
    <mergeCell ref="F211:F213"/>
    <mergeCell ref="G211:G213"/>
    <mergeCell ref="G215:G218"/>
    <mergeCell ref="F215:F218"/>
    <mergeCell ref="E215:E218"/>
    <mergeCell ref="D215:D218"/>
    <mergeCell ref="C215:C218"/>
    <mergeCell ref="B215:B218"/>
    <mergeCell ref="A215:A218"/>
    <mergeCell ref="A195:A205"/>
    <mergeCell ref="B195:B205"/>
    <mergeCell ref="C195:C205"/>
    <mergeCell ref="D195:D205"/>
    <mergeCell ref="E195:E205"/>
    <mergeCell ref="F195:F205"/>
    <mergeCell ref="G195:G205"/>
    <mergeCell ref="G206:G209"/>
    <mergeCell ref="F206:F209"/>
    <mergeCell ref="B206:B209"/>
    <mergeCell ref="A206:A209"/>
    <mergeCell ref="C141:C143"/>
    <mergeCell ref="D141:D143"/>
    <mergeCell ref="E141:E143"/>
    <mergeCell ref="F141:F143"/>
    <mergeCell ref="G141:G143"/>
    <mergeCell ref="F135:F138"/>
    <mergeCell ref="E135:E138"/>
    <mergeCell ref="D135:D138"/>
    <mergeCell ref="C135:C138"/>
    <mergeCell ref="B135:B138"/>
    <mergeCell ref="A135:A138"/>
    <mergeCell ref="A128:A134"/>
    <mergeCell ref="B128:B134"/>
    <mergeCell ref="C128:C134"/>
    <mergeCell ref="D128:D134"/>
    <mergeCell ref="B118:B119"/>
    <mergeCell ref="A118:A119"/>
    <mergeCell ref="C118:C119"/>
    <mergeCell ref="D118:D119"/>
    <mergeCell ref="E118:E119"/>
    <mergeCell ref="F118:F119"/>
    <mergeCell ref="G118:G119"/>
    <mergeCell ref="B122:B124"/>
    <mergeCell ref="A122:A124"/>
    <mergeCell ref="C122:C124"/>
    <mergeCell ref="D122:D124"/>
    <mergeCell ref="E122:E124"/>
    <mergeCell ref="F122:F124"/>
    <mergeCell ref="G122:G124"/>
    <mergeCell ref="A107:A114"/>
    <mergeCell ref="C107:C114"/>
    <mergeCell ref="D107:D114"/>
    <mergeCell ref="E107:E114"/>
    <mergeCell ref="F107:F114"/>
    <mergeCell ref="G107:G114"/>
    <mergeCell ref="C105:C106"/>
    <mergeCell ref="B105:B106"/>
    <mergeCell ref="A105:A106"/>
    <mergeCell ref="D105:D106"/>
    <mergeCell ref="E105:E106"/>
    <mergeCell ref="F105:F106"/>
    <mergeCell ref="G105:G106"/>
    <mergeCell ref="A93:A95"/>
    <mergeCell ref="C93:C95"/>
    <mergeCell ref="D93:D95"/>
    <mergeCell ref="E93:E95"/>
    <mergeCell ref="F93:F95"/>
    <mergeCell ref="G93:G95"/>
    <mergeCell ref="B98:B101"/>
    <mergeCell ref="A98:A101"/>
    <mergeCell ref="C98:C101"/>
    <mergeCell ref="D98:D101"/>
    <mergeCell ref="E98:E101"/>
    <mergeCell ref="F98:F101"/>
    <mergeCell ref="G98:G101"/>
    <mergeCell ref="B96:D96"/>
    <mergeCell ref="A84:A85"/>
    <mergeCell ref="C84:C85"/>
    <mergeCell ref="D84:D85"/>
    <mergeCell ref="E84:E85"/>
    <mergeCell ref="F84:F85"/>
    <mergeCell ref="G84:G85"/>
    <mergeCell ref="A71:A75"/>
    <mergeCell ref="C71:C75"/>
    <mergeCell ref="D71:D75"/>
    <mergeCell ref="E71:E75"/>
    <mergeCell ref="F71:F75"/>
    <mergeCell ref="G71:G75"/>
    <mergeCell ref="B78:B81"/>
    <mergeCell ref="A78:A81"/>
    <mergeCell ref="C78:C81"/>
    <mergeCell ref="D78:D81"/>
    <mergeCell ref="E78:E81"/>
    <mergeCell ref="F78:F81"/>
    <mergeCell ref="G78:G81"/>
    <mergeCell ref="B61:B65"/>
    <mergeCell ref="A61:A65"/>
    <mergeCell ref="C61:C65"/>
    <mergeCell ref="D61:D65"/>
    <mergeCell ref="E61:E65"/>
    <mergeCell ref="F61:F65"/>
    <mergeCell ref="G61:G65"/>
    <mergeCell ref="B68:B69"/>
    <mergeCell ref="A68:A69"/>
    <mergeCell ref="C68:C69"/>
    <mergeCell ref="D68:D69"/>
    <mergeCell ref="E68:E69"/>
    <mergeCell ref="F68:F69"/>
    <mergeCell ref="G68:G69"/>
    <mergeCell ref="B42:B45"/>
    <mergeCell ref="A42:A45"/>
    <mergeCell ref="C42:C45"/>
    <mergeCell ref="D42:D45"/>
    <mergeCell ref="E42:E45"/>
    <mergeCell ref="F42:F45"/>
    <mergeCell ref="G42:G45"/>
    <mergeCell ref="G48:G55"/>
    <mergeCell ref="F48:F55"/>
    <mergeCell ref="E48:E55"/>
    <mergeCell ref="D48:D55"/>
    <mergeCell ref="C48:C55"/>
    <mergeCell ref="B48:B55"/>
    <mergeCell ref="A48:A55"/>
    <mergeCell ref="B33:B36"/>
    <mergeCell ref="A33:A36"/>
    <mergeCell ref="C33:C36"/>
    <mergeCell ref="D33:D36"/>
    <mergeCell ref="E33:E36"/>
    <mergeCell ref="F33:F36"/>
    <mergeCell ref="G33:G36"/>
    <mergeCell ref="A37:A41"/>
    <mergeCell ref="G27:G28"/>
    <mergeCell ref="F27:F28"/>
    <mergeCell ref="E27:E28"/>
    <mergeCell ref="D27:D28"/>
    <mergeCell ref="C27:C28"/>
    <mergeCell ref="B27:B28"/>
    <mergeCell ref="A27:A28"/>
    <mergeCell ref="G29:G32"/>
    <mergeCell ref="F29:F32"/>
    <mergeCell ref="E29:E32"/>
    <mergeCell ref="D29:D32"/>
    <mergeCell ref="C29:C32"/>
    <mergeCell ref="B29:B32"/>
    <mergeCell ref="A29:A32"/>
    <mergeCell ref="G37:G41"/>
    <mergeCell ref="F37:F41"/>
    <mergeCell ref="G11:G13"/>
    <mergeCell ref="F11:F13"/>
    <mergeCell ref="E11:E13"/>
    <mergeCell ref="D11:D13"/>
    <mergeCell ref="C11:C13"/>
    <mergeCell ref="B11:B13"/>
    <mergeCell ref="A11:A13"/>
    <mergeCell ref="B14:B25"/>
    <mergeCell ref="A14:A25"/>
    <mergeCell ref="C14:C25"/>
    <mergeCell ref="D14:D25"/>
    <mergeCell ref="E14:E25"/>
    <mergeCell ref="F14:F25"/>
    <mergeCell ref="G14:G25"/>
    <mergeCell ref="B8:D8"/>
    <mergeCell ref="B9:D9"/>
    <mergeCell ref="B10:D10"/>
    <mergeCell ref="H7:L7"/>
    <mergeCell ref="H8:L8"/>
    <mergeCell ref="H10:L10"/>
    <mergeCell ref="H9:L9"/>
    <mergeCell ref="A1:L1"/>
    <mergeCell ref="A4:A6"/>
    <mergeCell ref="B4:B6"/>
    <mergeCell ref="C4:C6"/>
    <mergeCell ref="D4:D6"/>
    <mergeCell ref="E4:E6"/>
    <mergeCell ref="F4:F6"/>
    <mergeCell ref="G4:G6"/>
    <mergeCell ref="A2:L2"/>
    <mergeCell ref="H5:H6"/>
    <mergeCell ref="I5:I6"/>
    <mergeCell ref="H4:L4"/>
    <mergeCell ref="J5:L5"/>
    <mergeCell ref="B7:D7"/>
    <mergeCell ref="H96:L96"/>
    <mergeCell ref="B116:D116"/>
    <mergeCell ref="B117:D117"/>
    <mergeCell ref="H116:L116"/>
    <mergeCell ref="H117:L117"/>
    <mergeCell ref="B70:D70"/>
    <mergeCell ref="H70:L70"/>
    <mergeCell ref="B88:D88"/>
    <mergeCell ref="B89:D89"/>
    <mergeCell ref="H88:L88"/>
    <mergeCell ref="H89:L89"/>
    <mergeCell ref="B71:B75"/>
    <mergeCell ref="B84:B85"/>
    <mergeCell ref="B93:B95"/>
    <mergeCell ref="B107:B114"/>
    <mergeCell ref="H210:L210"/>
    <mergeCell ref="B214:D214"/>
    <mergeCell ref="H214:L214"/>
    <mergeCell ref="B220:D220"/>
    <mergeCell ref="H220:L220"/>
    <mergeCell ref="B151:D151"/>
    <mergeCell ref="H151:L151"/>
    <mergeCell ref="B174:D174"/>
    <mergeCell ref="B175:D175"/>
    <mergeCell ref="H174:L174"/>
    <mergeCell ref="H175:L175"/>
    <mergeCell ref="B157:B159"/>
    <mergeCell ref="L153:L154"/>
    <mergeCell ref="K153:K154"/>
    <mergeCell ref="J153:J154"/>
    <mergeCell ref="I153:I154"/>
    <mergeCell ref="H153:H154"/>
    <mergeCell ref="B170:B173"/>
    <mergeCell ref="E206:E209"/>
    <mergeCell ref="D206:D209"/>
    <mergeCell ref="C206:C209"/>
    <mergeCell ref="H272:L272"/>
    <mergeCell ref="B289:D289"/>
    <mergeCell ref="H289:L289"/>
    <mergeCell ref="B296:D296"/>
    <mergeCell ref="H296:L296"/>
    <mergeCell ref="B229:D229"/>
    <mergeCell ref="H229:L229"/>
    <mergeCell ref="B256:D256"/>
    <mergeCell ref="B257:D257"/>
    <mergeCell ref="B258:D258"/>
    <mergeCell ref="H256:L256"/>
    <mergeCell ref="H257:L257"/>
    <mergeCell ref="H258:L258"/>
    <mergeCell ref="B235:B243"/>
    <mergeCell ref="B252:B253"/>
    <mergeCell ref="B262:B266"/>
    <mergeCell ref="C267:C269"/>
    <mergeCell ref="B267:B269"/>
    <mergeCell ref="L275:L276"/>
    <mergeCell ref="K275:K276"/>
    <mergeCell ref="J275:J276"/>
    <mergeCell ref="I275:I276"/>
    <mergeCell ref="H275:H276"/>
    <mergeCell ref="C278:C280"/>
    <mergeCell ref="H297:L297"/>
    <mergeCell ref="B306:D306"/>
    <mergeCell ref="H306:L306"/>
    <mergeCell ref="B307:D307"/>
    <mergeCell ref="B298:B299"/>
    <mergeCell ref="H300:H302"/>
    <mergeCell ref="I300:I302"/>
    <mergeCell ref="J300:J302"/>
    <mergeCell ref="K300:K302"/>
    <mergeCell ref="L300:L302"/>
    <mergeCell ref="C303:C305"/>
    <mergeCell ref="B303:B305"/>
    <mergeCell ref="C300:C302"/>
    <mergeCell ref="B300:B302"/>
    <mergeCell ref="H317:L317"/>
    <mergeCell ref="H318:L318"/>
    <mergeCell ref="H320:L320"/>
    <mergeCell ref="H319:L319"/>
    <mergeCell ref="C325:C326"/>
    <mergeCell ref="D325:D326"/>
    <mergeCell ref="E325:E326"/>
    <mergeCell ref="F325:F326"/>
    <mergeCell ref="G325:G326"/>
    <mergeCell ref="H322:L322"/>
    <mergeCell ref="H329:H330"/>
    <mergeCell ref="H363:L363"/>
    <mergeCell ref="B369:D369"/>
    <mergeCell ref="H369:L369"/>
    <mergeCell ref="B372:D372"/>
    <mergeCell ref="H372:L372"/>
    <mergeCell ref="B338:D338"/>
    <mergeCell ref="B339:D339"/>
    <mergeCell ref="B340:D340"/>
    <mergeCell ref="H338:L338"/>
    <mergeCell ref="H339:L339"/>
    <mergeCell ref="H340:L340"/>
    <mergeCell ref="B346:B350"/>
    <mergeCell ref="C355:C357"/>
    <mergeCell ref="B355:B357"/>
    <mergeCell ref="B370:B371"/>
    <mergeCell ref="H332:L332"/>
    <mergeCell ref="H337:L337"/>
    <mergeCell ref="L329:L330"/>
    <mergeCell ref="K329:K330"/>
    <mergeCell ref="J329:J330"/>
    <mergeCell ref="I329:I330"/>
    <mergeCell ref="B391:D391"/>
    <mergeCell ref="H391:L391"/>
    <mergeCell ref="B401:D401"/>
    <mergeCell ref="H401:L401"/>
    <mergeCell ref="B415:D415"/>
    <mergeCell ref="H415:L415"/>
    <mergeCell ref="B373:D373"/>
    <mergeCell ref="H373:L373"/>
    <mergeCell ref="B388:D388"/>
    <mergeCell ref="B389:D389"/>
    <mergeCell ref="H388:L388"/>
    <mergeCell ref="H389:L389"/>
    <mergeCell ref="B382:B383"/>
    <mergeCell ref="B392:B393"/>
    <mergeCell ref="B396:B398"/>
    <mergeCell ref="B402:B404"/>
    <mergeCell ref="H405:H406"/>
    <mergeCell ref="I405:I406"/>
    <mergeCell ref="J405:J406"/>
    <mergeCell ref="K405:K406"/>
    <mergeCell ref="L405:L406"/>
    <mergeCell ref="H407:H408"/>
    <mergeCell ref="I407:I408"/>
    <mergeCell ref="B378:B381"/>
    <mergeCell ref="H425:L425"/>
    <mergeCell ref="B426:D426"/>
    <mergeCell ref="H426:L426"/>
    <mergeCell ref="B427:D427"/>
    <mergeCell ref="H427:L427"/>
    <mergeCell ref="B421:D421"/>
    <mergeCell ref="H421:L421"/>
    <mergeCell ref="B422:D422"/>
    <mergeCell ref="H422:L422"/>
    <mergeCell ref="B424:D424"/>
    <mergeCell ref="H424:L424"/>
    <mergeCell ref="H429:L429"/>
    <mergeCell ref="B432:D432"/>
    <mergeCell ref="H432:L432"/>
    <mergeCell ref="B435:D435"/>
    <mergeCell ref="H435:L435"/>
    <mergeCell ref="C436:C439"/>
    <mergeCell ref="B436:B439"/>
    <mergeCell ref="B468:D468"/>
    <mergeCell ref="H468:L468"/>
    <mergeCell ref="B449:D449"/>
    <mergeCell ref="H449:L449"/>
    <mergeCell ref="B453:D453"/>
    <mergeCell ref="H453:L453"/>
    <mergeCell ref="B462:D462"/>
    <mergeCell ref="H462:L462"/>
    <mergeCell ref="C450:C452"/>
    <mergeCell ref="B450:B452"/>
    <mergeCell ref="B455:B458"/>
    <mergeCell ref="B488:D488"/>
    <mergeCell ref="H488:L488"/>
    <mergeCell ref="B489:D489"/>
    <mergeCell ref="H489:L489"/>
    <mergeCell ref="B490:D490"/>
    <mergeCell ref="H490:L490"/>
    <mergeCell ref="B478:D478"/>
    <mergeCell ref="H478:L478"/>
    <mergeCell ref="B480:D480"/>
    <mergeCell ref="H480:L480"/>
    <mergeCell ref="B487:D487"/>
    <mergeCell ref="H487:L487"/>
    <mergeCell ref="C481:C486"/>
    <mergeCell ref="B481:B486"/>
    <mergeCell ref="D483:D484"/>
    <mergeCell ref="G481:G482"/>
    <mergeCell ref="F481:F482"/>
    <mergeCell ref="E481:E482"/>
    <mergeCell ref="D481:D482"/>
    <mergeCell ref="D485:D486"/>
    <mergeCell ref="G483:G484"/>
    <mergeCell ref="F483:F484"/>
    <mergeCell ref="E483:E484"/>
    <mergeCell ref="B499:D499"/>
    <mergeCell ref="B500:D500"/>
    <mergeCell ref="B501:D501"/>
    <mergeCell ref="H498:L498"/>
    <mergeCell ref="H499:L499"/>
    <mergeCell ref="H501:L501"/>
    <mergeCell ref="H500:L500"/>
    <mergeCell ref="B491:D491"/>
    <mergeCell ref="H491:L491"/>
    <mergeCell ref="B497:D497"/>
    <mergeCell ref="H497:L497"/>
    <mergeCell ref="B498:D498"/>
    <mergeCell ref="C495:C496"/>
    <mergeCell ref="B495:B496"/>
  </mergeCells>
  <pageMargins left="0.39370078740157483" right="0.39370078740157483" top="0.39370078740157483" bottom="0.39370078740157483" header="0.39370078740157483" footer="0.39370078740157483"/>
  <pageSetup paperSize="9" scale="70" firstPageNumber="19" orientation="landscape" useFirstPageNumber="1" r:id="rId1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Planas</vt:lpstr>
      <vt:lpstr>Planas!Print_Area</vt:lpstr>
      <vt:lpstr>Planas!Print_Titles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Bačiliūnienė</dc:creator>
  <cp:keywords/>
  <dc:description/>
  <cp:lastModifiedBy>Windows User</cp:lastModifiedBy>
  <cp:revision/>
  <cp:lastPrinted>2023-02-08T08:40:50Z</cp:lastPrinted>
  <dcterms:created xsi:type="dcterms:W3CDTF">2023-01-19T12:40:57Z</dcterms:created>
  <dcterms:modified xsi:type="dcterms:W3CDTF">2023-02-10T06:58:23Z</dcterms:modified>
  <cp:category/>
  <cp:contentStatus/>
</cp:coreProperties>
</file>