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showHorizontalScroll="0" showVerticalScroll="0" showSheetTabs="0" xWindow="0" yWindow="0" windowWidth="14415" windowHeight="6855"/>
  </bookViews>
  <sheets>
    <sheet name="Planas" sheetId="2" r:id="rId1"/>
  </sheets>
  <definedNames>
    <definedName name="_xlnm.Print_Area" localSheetId="0">Planas!$A$1:$L$243</definedName>
    <definedName name="_xlnm.Print_Titles" localSheetId="0">Planas!$4:$6</definedName>
  </definedNames>
  <calcPr calcId="145621"/>
</workbook>
</file>

<file path=xl/calcChain.xml><?xml version="1.0" encoding="utf-8"?>
<calcChain xmlns="http://schemas.openxmlformats.org/spreadsheetml/2006/main">
  <c r="E133" i="2" l="1"/>
  <c r="E94" i="2"/>
  <c r="F94" i="2" l="1"/>
  <c r="G94" i="2"/>
  <c r="E11" i="2" l="1"/>
  <c r="F11" i="2"/>
  <c r="G11" i="2"/>
  <c r="E14" i="2"/>
  <c r="F14" i="2"/>
  <c r="G14" i="2"/>
  <c r="E17" i="2"/>
  <c r="F17" i="2"/>
  <c r="G17" i="2"/>
  <c r="E24" i="2"/>
  <c r="F24" i="2"/>
  <c r="G24" i="2"/>
  <c r="E30" i="2"/>
  <c r="F30" i="2"/>
  <c r="G30" i="2"/>
  <c r="E35" i="2"/>
  <c r="F35" i="2"/>
  <c r="G35" i="2"/>
  <c r="D38" i="2"/>
  <c r="E42" i="2"/>
  <c r="F42" i="2"/>
  <c r="G42" i="2"/>
  <c r="E47" i="2"/>
  <c r="F47" i="2"/>
  <c r="G47" i="2"/>
  <c r="E51" i="2"/>
  <c r="F51" i="2"/>
  <c r="G51" i="2"/>
  <c r="E55" i="2"/>
  <c r="F55" i="2"/>
  <c r="G55" i="2"/>
  <c r="E58" i="2"/>
  <c r="F58" i="2"/>
  <c r="G58" i="2"/>
  <c r="E61" i="2"/>
  <c r="F61" i="2"/>
  <c r="G61" i="2"/>
  <c r="E65" i="2"/>
  <c r="F65" i="2"/>
  <c r="G65" i="2"/>
  <c r="E68" i="2"/>
  <c r="F68" i="2"/>
  <c r="G68" i="2"/>
  <c r="E71" i="2"/>
  <c r="F71" i="2"/>
  <c r="G71" i="2"/>
  <c r="E73" i="2"/>
  <c r="F73" i="2"/>
  <c r="G73" i="2"/>
  <c r="E77" i="2"/>
  <c r="F77" i="2"/>
  <c r="G77" i="2"/>
  <c r="E84" i="2"/>
  <c r="F84" i="2"/>
  <c r="G84" i="2"/>
  <c r="E87" i="2"/>
  <c r="F87" i="2"/>
  <c r="G87" i="2"/>
  <c r="E90" i="2"/>
  <c r="F90" i="2"/>
  <c r="G90" i="2"/>
  <c r="E96" i="2"/>
  <c r="F96" i="2"/>
  <c r="G96" i="2"/>
  <c r="E103" i="2"/>
  <c r="F103" i="2"/>
  <c r="G103" i="2"/>
  <c r="E107" i="2"/>
  <c r="F107" i="2"/>
  <c r="G107" i="2"/>
  <c r="E110" i="2"/>
  <c r="F110" i="2"/>
  <c r="G110" i="2"/>
  <c r="E114" i="2"/>
  <c r="F114" i="2"/>
  <c r="G114" i="2"/>
  <c r="E116" i="2"/>
  <c r="F116" i="2"/>
  <c r="G116" i="2"/>
  <c r="E119" i="2"/>
  <c r="F119" i="2"/>
  <c r="G119" i="2"/>
  <c r="E122" i="2"/>
  <c r="F122" i="2"/>
  <c r="G122" i="2"/>
  <c r="E126" i="2"/>
  <c r="F126" i="2"/>
  <c r="G126" i="2"/>
  <c r="F133" i="2"/>
  <c r="G133" i="2"/>
  <c r="E136" i="2"/>
  <c r="F136" i="2"/>
  <c r="G136" i="2"/>
  <c r="E139" i="2"/>
  <c r="F139" i="2"/>
  <c r="G139" i="2"/>
  <c r="E144" i="2"/>
  <c r="F144" i="2"/>
  <c r="G144" i="2"/>
  <c r="E148" i="2"/>
  <c r="F148" i="2"/>
  <c r="G148" i="2"/>
  <c r="E153" i="2"/>
  <c r="F153" i="2"/>
  <c r="G153" i="2"/>
  <c r="E155" i="2"/>
  <c r="F155" i="2"/>
  <c r="G155" i="2"/>
  <c r="E158" i="2"/>
  <c r="F158" i="2"/>
  <c r="G158" i="2"/>
  <c r="E162" i="2"/>
  <c r="F162" i="2"/>
  <c r="G162" i="2"/>
  <c r="E164" i="2"/>
  <c r="F164" i="2"/>
  <c r="G164" i="2"/>
  <c r="E174" i="2"/>
  <c r="F174" i="2"/>
  <c r="G174" i="2"/>
  <c r="E178" i="2"/>
  <c r="F178" i="2"/>
  <c r="G178" i="2"/>
  <c r="E181" i="2"/>
  <c r="F181" i="2"/>
  <c r="G181" i="2"/>
  <c r="E185" i="2"/>
  <c r="F185" i="2"/>
  <c r="G185" i="2"/>
  <c r="E189" i="2"/>
  <c r="F189" i="2"/>
  <c r="G189" i="2"/>
  <c r="E193" i="2"/>
  <c r="F193" i="2"/>
  <c r="G193" i="2"/>
  <c r="E197" i="2"/>
  <c r="F197" i="2"/>
  <c r="G197" i="2"/>
  <c r="E207" i="2"/>
  <c r="F207" i="2"/>
  <c r="G207" i="2"/>
  <c r="E210" i="2"/>
  <c r="F210" i="2"/>
  <c r="G210" i="2"/>
  <c r="E212" i="2"/>
  <c r="F212" i="2"/>
  <c r="G212" i="2"/>
  <c r="E214" i="2"/>
  <c r="F214" i="2"/>
  <c r="G214" i="2"/>
  <c r="E217" i="2"/>
  <c r="F217" i="2"/>
  <c r="G217" i="2"/>
  <c r="E220" i="2"/>
  <c r="F220" i="2"/>
  <c r="G220" i="2"/>
  <c r="E223" i="2"/>
  <c r="F223" i="2"/>
  <c r="G223" i="2"/>
  <c r="E227" i="2"/>
  <c r="F227" i="2"/>
  <c r="G227" i="2"/>
  <c r="E232" i="2"/>
  <c r="F232" i="2"/>
  <c r="G232" i="2"/>
  <c r="E239" i="2"/>
  <c r="F239" i="2"/>
  <c r="G239" i="2"/>
  <c r="E242" i="2"/>
  <c r="F242" i="2"/>
  <c r="G242" i="2"/>
  <c r="F41" i="2" l="1"/>
  <c r="G9" i="2"/>
  <c r="G41" i="2"/>
  <c r="E184" i="2"/>
  <c r="E41" i="2"/>
  <c r="E9" i="2"/>
  <c r="G20" i="2"/>
  <c r="F20" i="2"/>
  <c r="E20" i="2"/>
  <c r="E168" i="2"/>
  <c r="F9" i="2"/>
  <c r="G184" i="2"/>
  <c r="G168" i="2"/>
  <c r="F168" i="2"/>
  <c r="F132" i="2"/>
  <c r="E132" i="2"/>
  <c r="G132" i="2"/>
  <c r="E152" i="2"/>
  <c r="E151" i="2" s="1"/>
  <c r="G152" i="2"/>
  <c r="G151" i="2" s="1"/>
  <c r="F152" i="2"/>
  <c r="F151" i="2" s="1"/>
  <c r="F184" i="2"/>
  <c r="F167" i="2" l="1"/>
  <c r="F8" i="2"/>
  <c r="G8" i="2"/>
  <c r="F40" i="2"/>
  <c r="G167" i="2"/>
  <c r="E167" i="2"/>
  <c r="E8" i="2"/>
  <c r="G40" i="2"/>
  <c r="E40" i="2"/>
  <c r="E7" i="2" s="1"/>
  <c r="G7" i="2" l="1"/>
  <c r="F7" i="2"/>
</calcChain>
</file>

<file path=xl/sharedStrings.xml><?xml version="1.0" encoding="utf-8"?>
<sst xmlns="http://schemas.openxmlformats.org/spreadsheetml/2006/main" count="1189" uniqueCount="495">
  <si>
    <t>Kodas</t>
  </si>
  <si>
    <t>Vykdytojas</t>
  </si>
  <si>
    <t>SP lėšos</t>
  </si>
  <si>
    <t>Planas</t>
  </si>
  <si>
    <t>03.</t>
  </si>
  <si>
    <t>Darnaus teritorijų ir infrastruktūros vystymo programa</t>
  </si>
  <si>
    <t>03.01.</t>
  </si>
  <si>
    <t>Kurti efektyvią ir modernią inžinerinio aprūpinimo infrastruktūrą</t>
  </si>
  <si>
    <t>03.01.01.</t>
  </si>
  <si>
    <t>Atnaujinti ir plėsti vandens tiekimo ir nuotekų tvarkymo infrastruktūrą</t>
  </si>
  <si>
    <t>03.01.01.001.</t>
  </si>
  <si>
    <t>Išperkamų iš privačių ir juridinių asmenų vandens tiekimo ir nuotekų tvarkymo infrastruktūros objektų rinkos vertės nustatymas</t>
  </si>
  <si>
    <t>Nekilnojamo turto skyrius</t>
  </si>
  <si>
    <t>1.1.1.</t>
  </si>
  <si>
    <t>Objektų, dėl kurių pateikta išvada, ir įvertintų objektų santykis</t>
  </si>
  <si>
    <t>90,00</t>
  </si>
  <si>
    <t>03.01.01.002.</t>
  </si>
  <si>
    <t>Geriamojo vandens tiekimo, nuotekų tvarkymo infrastruktūros plėtra ir rekonstrukcija Kaune</t>
  </si>
  <si>
    <t>Plėtros programų ir investicijų skyrius</t>
  </si>
  <si>
    <t>Atliktų veiklų dalis nuo visų projekto veiklų</t>
  </si>
  <si>
    <t>5,00</t>
  </si>
  <si>
    <t>Rekonstruoti vandens tiekimo ir nuotekų surinkimo tinklai</t>
  </si>
  <si>
    <t>Nutiesti nauji vandens tiekimo ir nuotekų surinkimo tinklai</t>
  </si>
  <si>
    <t>2.</t>
  </si>
  <si>
    <t>03.01.01.003.</t>
  </si>
  <si>
    <t>Paviršinių nuotekų tinklų rekonstrukcija ir plėtra Kaune</t>
  </si>
  <si>
    <t>Rekonstruoti paviršinių nuotekų tinklai</t>
  </si>
  <si>
    <t>Nutiesti nauji paviršinių nuotekų tinklai</t>
  </si>
  <si>
    <t>28,00</t>
  </si>
  <si>
    <t>10,00</t>
  </si>
  <si>
    <t>03.01.01.004.</t>
  </si>
  <si>
    <t>Privačių namų prijungimas prie Kauno miesto nuotekų surinkimo infrastruktūros</t>
  </si>
  <si>
    <t>Privačių namų, prijungtų prie miesto nuotekų surinkimo infrastruktūros, skaičius</t>
  </si>
  <si>
    <t>100,00</t>
  </si>
  <si>
    <t>1.2.</t>
  </si>
  <si>
    <t>3.</t>
  </si>
  <si>
    <t>1.1.2.</t>
  </si>
  <si>
    <t>03.01.02.</t>
  </si>
  <si>
    <t>Didinti energetikos sistemų ir energijos suvartojimo efektyvumą</t>
  </si>
  <si>
    <t>03.01.02.001.</t>
  </si>
  <si>
    <t>Elektros energijos, sunaudotos miesto gatvėms apšviesti, išlaidų apmokėjimas</t>
  </si>
  <si>
    <t>Energetikos skyrius</t>
  </si>
  <si>
    <t>Elektros energijos kiekis perskaičiuotas 1 šviestuvui</t>
  </si>
  <si>
    <t>420,00</t>
  </si>
  <si>
    <t>03.01.02.002.</t>
  </si>
  <si>
    <t>Subsidijoms už šiluminę energiją dėl kainų skirtumo mokėti</t>
  </si>
  <si>
    <t>Subsidijų gavėjų skaičius</t>
  </si>
  <si>
    <t>2,00</t>
  </si>
  <si>
    <t>1,00</t>
  </si>
  <si>
    <t>03.01.02.003.</t>
  </si>
  <si>
    <t>Daugiabučių namų ir savivaldybių viešųjų pastatų modernizavimo skatinimas</t>
  </si>
  <si>
    <t>Daugiabučių namų administravimo ir renovavimo skyrius</t>
  </si>
  <si>
    <t>Parengtų dokumentų skaičius</t>
  </si>
  <si>
    <t>112,00</t>
  </si>
  <si>
    <t>03.01.02.004.</t>
  </si>
  <si>
    <t>Savivaldybės valdomų  negyvenamųjų pastatų,  patalpų, statinių valdymo, priežiūros ir tvarkymo efektyvinimas</t>
  </si>
  <si>
    <t>Parengta Savivaldybės įstaigų, valdančių Savivaldybės nekilnojamojo turto, motyvacinė sistema, įgalinanti siekti racionalaus turto naudojimo</t>
  </si>
  <si>
    <t>Savivaldybės gautos lėšos už Savivaldybės negyvenamosios paskirties turto nuomą</t>
  </si>
  <si>
    <t>Eur</t>
  </si>
  <si>
    <t>572 000,00</t>
  </si>
  <si>
    <t>570 000,00</t>
  </si>
  <si>
    <t>Parengtas ilgalaikis nekilnojamojo turto panaudojimo planas</t>
  </si>
  <si>
    <t>Savivaldybės gautos lėšos už Savivaldybės nekilnojamojo turto pardavimą aukciono būdu</t>
  </si>
  <si>
    <t>Savivaldybės gaunamų pajamų už turto nuomą ir panaudotų  lėšų turto priežiūrai santykis</t>
  </si>
  <si>
    <t>50,00</t>
  </si>
  <si>
    <t>Įrengtų šviesos taškų skaičius</t>
  </si>
  <si>
    <t>800,00</t>
  </si>
  <si>
    <t>03.01.02.006.</t>
  </si>
  <si>
    <t>Miesto gatvių apšvietimo elektros tinklų eksploatavimas, atnaujinimas ir plėtra</t>
  </si>
  <si>
    <t>Gedimų skaičius nuo bendro šviestuvų skaičiaus</t>
  </si>
  <si>
    <t>0,12</t>
  </si>
  <si>
    <t>0,10</t>
  </si>
  <si>
    <t>Energiją taupančių įrenginių dalis nuo visų įrenginių</t>
  </si>
  <si>
    <t>15,50</t>
  </si>
  <si>
    <t>25,00</t>
  </si>
  <si>
    <t>40,00</t>
  </si>
  <si>
    <t>Apšviestų gatvių dalis nuo visų gatvių</t>
  </si>
  <si>
    <t>73,00</t>
  </si>
  <si>
    <t>80,00</t>
  </si>
  <si>
    <t>85,00</t>
  </si>
  <si>
    <t>03.01.02.007.</t>
  </si>
  <si>
    <t>Savivaldybės apšvietimo įrenginių inventorizavimas</t>
  </si>
  <si>
    <t>Inventorizuotų apšvietimo sistemų skaičius</t>
  </si>
  <si>
    <t>30,00</t>
  </si>
  <si>
    <t>03.01.02.008.</t>
  </si>
  <si>
    <t>Savivaldybės gyvenamųjų patalpų (statinių) ir jų priklausinių valdymo, priežiūros ir tvarkymo efektyvinimas</t>
  </si>
  <si>
    <t>Suremontuotų gyvenamųjų patalpų plotas</t>
  </si>
  <si>
    <t>8 130,00</t>
  </si>
  <si>
    <t>8 000,00</t>
  </si>
  <si>
    <t>Netinkamų gyventi būstų kiekio sumažėjimas</t>
  </si>
  <si>
    <t>Savivaldybės būsto pardavimo pajamos</t>
  </si>
  <si>
    <t>1 000 000,00</t>
  </si>
  <si>
    <t>700 000,00</t>
  </si>
  <si>
    <t>03.01.02.009.</t>
  </si>
  <si>
    <t>Savivaldybės nekilnojamojo turto nuomos sutarčių vykdymo kontrolės efektyvinimas</t>
  </si>
  <si>
    <t>Būsto nuomos skolos sumažėjimas</t>
  </si>
  <si>
    <t>20,00</t>
  </si>
  <si>
    <t>Susigrąžintų Savivaldybės žinion būstų skaičius</t>
  </si>
  <si>
    <t>03.02.</t>
  </si>
  <si>
    <t>Plėtoti kokybišką ir saugią susisiekimo infrastruktūrą</t>
  </si>
  <si>
    <t>03.02.01.</t>
  </si>
  <si>
    <t>Užtikrinti kokybišką susisiekimo infrastruktūrą</t>
  </si>
  <si>
    <t>03.02.01.001.</t>
  </si>
  <si>
    <t>Pėsčiųjų saugumo didinimas įdiegiant naujausių technologijų apšvietimą pėsčiųjų perėjose</t>
  </si>
  <si>
    <t>Naujausiomis technologijomis apšviestų perėjų skaičiaus santykis su neapšviestų perėjų skaičiumi</t>
  </si>
  <si>
    <t>95,00</t>
  </si>
  <si>
    <t>200,00</t>
  </si>
  <si>
    <t>03.02.01.002.</t>
  </si>
  <si>
    <t>Statybos valdymo skyrius</t>
  </si>
  <si>
    <t>03.02.01.003.</t>
  </si>
  <si>
    <t>Naujų šviesoforų įrengimas Kauno miesto sankryžose ir pėsčiųjų perėjose</t>
  </si>
  <si>
    <t>Transporto ir eismo organizavimo skyrius</t>
  </si>
  <si>
    <t>Reguliuojamų sankryžų skaičiaus</t>
  </si>
  <si>
    <t>134,00</t>
  </si>
  <si>
    <t>140,00</t>
  </si>
  <si>
    <t>145,00</t>
  </si>
  <si>
    <t>03.02.01.006.</t>
  </si>
  <si>
    <t>Eismo saugumo užtikrinimas Kauno miesto senamiestyje ir centrinėje dalyje, įrengiant retro stiliaus stulpelius ir apsauginius atitvarus</t>
  </si>
  <si>
    <t>Gatvių ruožų, kuriose įrengtos eismo saugumo priemonės ilgis</t>
  </si>
  <si>
    <t>8,00</t>
  </si>
  <si>
    <t>4,00</t>
  </si>
  <si>
    <t>03.02.01.012.</t>
  </si>
  <si>
    <t>Radvilėnų pl. nuo A. Baranausko g. iki Zoologijos sodo pabaigos ir nuo Zoologijos sodo pabaigos iki Tunelio g. rekonstravimas</t>
  </si>
  <si>
    <t>Rekonstruotas gatvės ilgis</t>
  </si>
  <si>
    <t>1,64</t>
  </si>
  <si>
    <t>03.02.01.013.</t>
  </si>
  <si>
    <t>Šeštokų 1-osios g. ir Alyvų 1-osios g.  statyba</t>
  </si>
  <si>
    <t>Naujai nutiestos gatvės ilgis</t>
  </si>
  <si>
    <t>0,50</t>
  </si>
  <si>
    <t>52,00</t>
  </si>
  <si>
    <t>12,00</t>
  </si>
  <si>
    <t>03.02.01.014.</t>
  </si>
  <si>
    <t>Pėsčiųjų tunelio su dviračių ir pėsčiųjų takais po „Rail Baltica“ trasa statyba</t>
  </si>
  <si>
    <t>1.3.5.</t>
  </si>
  <si>
    <t>03.02.01.015.</t>
  </si>
  <si>
    <t>Elektromobilių įkrovimo prieigų infrastruktūros sukūrimas Kaune</t>
  </si>
  <si>
    <t>Įrengtų elektromobilių įkrovimo stotelių skaičius</t>
  </si>
  <si>
    <t>7,00</t>
  </si>
  <si>
    <t>03.02.01.016.</t>
  </si>
  <si>
    <t>Šviesoforinės įrangos įrengimas Eivenių g. ir Sukilėlių pr. sankryžoje</t>
  </si>
  <si>
    <t>15,00</t>
  </si>
  <si>
    <t>Įrengtų šviesoforinės įrangos sistemų kiekis</t>
  </si>
  <si>
    <t>03.02.01.017.</t>
  </si>
  <si>
    <t>Eismo saugos įrenginių rekonstrukcija Savanorių prospekte</t>
  </si>
  <si>
    <t>37,00</t>
  </si>
  <si>
    <t>Rekonstruotų eismo saugos įrenginių kiekis</t>
  </si>
  <si>
    <t>03.02.01.018.</t>
  </si>
  <si>
    <t>Šviesoforinės įrangos  J. Lukšos-Daumanto g. ir Sukilėlių pr. sankryžoje įrengimas</t>
  </si>
  <si>
    <t>03.02.01.019.</t>
  </si>
  <si>
    <t>Visuomenės ugdymas  saugaus eismo klausimais</t>
  </si>
  <si>
    <t>Dalyvių skaičius</t>
  </si>
  <si>
    <t>1 000,00</t>
  </si>
  <si>
    <t>Įgyvendintų viešinimo priemonių skaičius</t>
  </si>
  <si>
    <t>03.02.01.020.</t>
  </si>
  <si>
    <t>Automobilių statymo Kauno mieste organizavimas</t>
  </si>
  <si>
    <t>Kontroliuojamų stovėjimo vietų skaičius</t>
  </si>
  <si>
    <t>5 200,00</t>
  </si>
  <si>
    <t>Automobilių stovėjimo valandų kiekis</t>
  </si>
  <si>
    <t>val.</t>
  </si>
  <si>
    <t>Kaštai vienam eurui surinkti</t>
  </si>
  <si>
    <t>0,40</t>
  </si>
  <si>
    <t>03.02.01.021.</t>
  </si>
  <si>
    <t>Susisiekimo komunikacijų (gatvių) kadastro duomenu nustatymas, tikslinimas ir teisinė registracija</t>
  </si>
  <si>
    <t>Įregistruotų gatvių dalis nuo visų gatvių</t>
  </si>
  <si>
    <t>62,00</t>
  </si>
  <si>
    <t>65,00</t>
  </si>
  <si>
    <t>68,00</t>
  </si>
  <si>
    <t>03.02.01.022.</t>
  </si>
  <si>
    <t>Požeminės perėjos M. K. Čiurlionio g. ir Vytauto pr. sankryžoje eksploatacija ir remontas</t>
  </si>
  <si>
    <t>Miesto tvarkymo skyrius</t>
  </si>
  <si>
    <t>Suremontuota požeminės perėjos ploto dalis nuo viso perėjos ploto</t>
  </si>
  <si>
    <t>Atliktų remonto projekto veiklų skaičius</t>
  </si>
  <si>
    <t>3,00</t>
  </si>
  <si>
    <t>Perėjos priežiūros sutarties vykdymo patikrinimų skaičius</t>
  </si>
  <si>
    <t>11,00</t>
  </si>
  <si>
    <t>03.02.01.023.</t>
  </si>
  <si>
    <t>Požeminių perėjų ir laiptų einamasis remontas</t>
  </si>
  <si>
    <t>Suremontuotų požeminių perėjų ir laiptų dalis nuo visų perėjų ir laiptų</t>
  </si>
  <si>
    <t>03.02.01.024.</t>
  </si>
  <si>
    <t>Gatvių pralaidų ir vandens išleistuvų remontas ir drenažinių griovių sutvarkymas ir priežiūra</t>
  </si>
  <si>
    <t>Suremontuotų gatvių pralaidų ir vandens išleistuvų, drenažo griovių kiekis</t>
  </si>
  <si>
    <t>1 500,00</t>
  </si>
  <si>
    <t>1 200,00</t>
  </si>
  <si>
    <t>03.02.01.025.</t>
  </si>
  <si>
    <t>Eismo saugumo gerinimas Kauno mieste įrengiant metalinius apsauginius atitvarus</t>
  </si>
  <si>
    <t>Įrengtų metalinių atitvarų dalis nuo visų planuojamų įrengti apsauginių atitivarų</t>
  </si>
  <si>
    <t>03.02.01.027.</t>
  </si>
  <si>
    <t>Elektromobilių įkrovimo stotelių įrengimas</t>
  </si>
  <si>
    <t>03.02.01.028.</t>
  </si>
  <si>
    <t>Kauno miesto gatvių, aikščių priežiūra ir einamasis remontas</t>
  </si>
  <si>
    <t>Suremontuotų gatvių ir aikščių plotas</t>
  </si>
  <si>
    <t>03.02.01.029.</t>
  </si>
  <si>
    <t>Kauno miesto gatvių, aikščių projektavimas, kapitalinis remontas ir rekonstrukcija</t>
  </si>
  <si>
    <t>Įgyvendintų projekto veiklų skaičius</t>
  </si>
  <si>
    <t>547 560,00</t>
  </si>
  <si>
    <t>70 560,00</t>
  </si>
  <si>
    <t>03.02.01.030.</t>
  </si>
  <si>
    <t>Marių gatvės rekonstravimas iki Palemono gatvės, įrengiant  sankirtą su ,,Rail Baltica“ trasa</t>
  </si>
  <si>
    <t>35,00</t>
  </si>
  <si>
    <t>03.02.01.031.</t>
  </si>
  <si>
    <t>Tiltų ir viadukų einamasis remontas</t>
  </si>
  <si>
    <t>Suremontuotų tiltų ir viadukų dalis nuo bendro tiltų ir viadukų ploto</t>
  </si>
  <si>
    <t>18,00</t>
  </si>
  <si>
    <t>03.02.01.032.</t>
  </si>
  <si>
    <t>Pėsčiųjų takų (šaligatvių) įrengimas ir remontas</t>
  </si>
  <si>
    <t>Suremontuotų pėsčiųjų takų plotas</t>
  </si>
  <si>
    <t>200 000,00</t>
  </si>
  <si>
    <t>03.02.01.033.</t>
  </si>
  <si>
    <t>Laisvės alėjos rekonstravimas (1–5 etapai)</t>
  </si>
  <si>
    <t>Suremontuotos Laisvės al. plotas</t>
  </si>
  <si>
    <t>9 200,00</t>
  </si>
  <si>
    <t>28 500,00</t>
  </si>
  <si>
    <t>31 400,00</t>
  </si>
  <si>
    <t>03.02.01.037.</t>
  </si>
  <si>
    <t>Studentų g. (A. Baranausko g.– Grinčiupio g.– Baršausko g.) rekonstravimas</t>
  </si>
  <si>
    <t>Rekonstruotas gatvės plotas</t>
  </si>
  <si>
    <t>37 700,00</t>
  </si>
  <si>
    <t>03.02.01.038.</t>
  </si>
  <si>
    <t>Prancūzų g. rekonstravimas</t>
  </si>
  <si>
    <t>24 600,00</t>
  </si>
  <si>
    <t>03.02.01.039.</t>
  </si>
  <si>
    <t>Verkių g. (nuo Prancūzų g. iki Ašmenos 1-osios g.) rekonstravimas</t>
  </si>
  <si>
    <t>21 080,00</t>
  </si>
  <si>
    <t>03.02.01.040.</t>
  </si>
  <si>
    <t>A. Šapokos g. rekonstrukcija</t>
  </si>
  <si>
    <t>5 656,00</t>
  </si>
  <si>
    <t>03.02.01.041.</t>
  </si>
  <si>
    <t>Bivylių g. rekonstrukcija</t>
  </si>
  <si>
    <t>11 986,00</t>
  </si>
  <si>
    <t>03.02.01.042.</t>
  </si>
  <si>
    <t>Ašigalio g. žiedo ir nuovažos į magistralinį kelią A1 rekonstravimas</t>
  </si>
  <si>
    <t>4 251,00</t>
  </si>
  <si>
    <t>03.02.01.045.</t>
  </si>
  <si>
    <t>Chemijos ir R. Kalantos gatvių  rekonstravimas, įrengiant sankirtą su Pietrytiniu aplinkkeliu ir ,,Rail Baltica“ magistrale</t>
  </si>
  <si>
    <t>03.02.01.048.</t>
  </si>
  <si>
    <t>Projekto „Šiaurės ir Baltijos jūrų regionų jungtis“ įgyvendinimas</t>
  </si>
  <si>
    <t>03.02.01.050.</t>
  </si>
  <si>
    <t>Stacionarių greičio matavimo įrenginių skaičius</t>
  </si>
  <si>
    <t>6,00</t>
  </si>
  <si>
    <t>03.02.01.051.</t>
  </si>
  <si>
    <t>Saugaus eismo įrenginių (išskyrus šviesoforus) priežiūra</t>
  </si>
  <si>
    <t>Įrengtų ir atnaujintų kelio ženklų skaičius Kauno mieste</t>
  </si>
  <si>
    <t>2 500,00</t>
  </si>
  <si>
    <t>Didesnio atspindžio kelio ženklų procentinė dalis nuo visų kelio ženklų nereguliuojamose pėsčiųjų perėjose</t>
  </si>
  <si>
    <t>60,00</t>
  </si>
  <si>
    <t>70,00</t>
  </si>
  <si>
    <t>03.02.01.052.</t>
  </si>
  <si>
    <t>Saugaus eismo gerinimas ženklinant gatvių važiuojamąją dalį</t>
  </si>
  <si>
    <t>Paženklintų asfaltuotų gatvių dalis</t>
  </si>
  <si>
    <t>03.02.01.053.</t>
  </si>
  <si>
    <t>Saugaus eismo užtikrinimas prižiūrint ir eksploatuojant šviesoforus</t>
  </si>
  <si>
    <t>2 350,00</t>
  </si>
  <si>
    <t>2 300,00</t>
  </si>
  <si>
    <t>03.02.01.054.</t>
  </si>
  <si>
    <t>Darnaus judumo priemonių diegimas Kauno mieste</t>
  </si>
  <si>
    <t>Įgyvendintų darnaus judumo priemonių skaičius</t>
  </si>
  <si>
    <t>03.02.01.055.</t>
  </si>
  <si>
    <t>Darnaus judumo Kauno mieste plano rengimas</t>
  </si>
  <si>
    <t>Parengtas planas</t>
  </si>
  <si>
    <t>03.02.01.056.</t>
  </si>
  <si>
    <t>Pėsčiųjų takų sutvarkymas gyvenamųjų namų kvartale ties Vytenio g. tarp Demokratų g. ir Varnių g.</t>
  </si>
  <si>
    <t>Suremontuotų pėsčiųjų takų ilgis</t>
  </si>
  <si>
    <t>m</t>
  </si>
  <si>
    <t>03.02.01.057.</t>
  </si>
  <si>
    <t>Aleksoto gatvių (Kalvarijos g., Vyčio Kryžiaus g., K. Sprangausko g., J. Petruičio g., J. Čapliko g., J. Pabrėžos g., Vilties g.) rekonstravimas</t>
  </si>
  <si>
    <t>2,11</t>
  </si>
  <si>
    <t>7,52</t>
  </si>
  <si>
    <t>03.02.01.058.</t>
  </si>
  <si>
    <t>Gatvių, kurių rekonstrukcija finansuojama ES lėšomis, techninių projektų rengimas</t>
  </si>
  <si>
    <t>03.02.01.059.</t>
  </si>
  <si>
    <t>Eismo saugumo ir eismo organizavimo planavimas</t>
  </si>
  <si>
    <t>Eismo saugos planavimo dokumentų skaičius</t>
  </si>
  <si>
    <t>03.02.02.</t>
  </si>
  <si>
    <t>Plėtoti visuomeninio ir bevariklio transporto sistemas</t>
  </si>
  <si>
    <t>03.02.02.001.</t>
  </si>
  <si>
    <t>Sąlygų gyventojų fiziniam aktyvumui užtikrinimas, įrengiant saugią pėsčiųjų ir bevariklio transporto infrastruktūrą</t>
  </si>
  <si>
    <t>Nuvalytų dviračių takų plotas nuo visų dviračių takų ploto</t>
  </si>
  <si>
    <t>Suremontuotų dviračių takų dalis nuo remontuotinų dviračių takų</t>
  </si>
  <si>
    <t>Įgyvendintų priemonių dalis nuo schemoje numatytų įgyvendinti priemonių</t>
  </si>
  <si>
    <t>03.02.02.002.</t>
  </si>
  <si>
    <t>Pėsčiųjų ir dviračių tako Veiverių g. nuo Vytauto Didžiojo tilto iki Kauno miesto ribos įrengimas</t>
  </si>
  <si>
    <t>Įrengto dviračių ir pėsčiųjų tako ilgis</t>
  </si>
  <si>
    <t>6,14</t>
  </si>
  <si>
    <t>03.02.02.003.</t>
  </si>
  <si>
    <t>Pėsčiųjų ir dviračių tako Savanorių pr. įrengimas</t>
  </si>
  <si>
    <t>14,00</t>
  </si>
  <si>
    <t>Įrengtų pėsčiųjų ir dviračių takų ilgis</t>
  </si>
  <si>
    <t>03.02.02.005.</t>
  </si>
  <si>
    <t>Kompensacijoms už keleivių, turinčių teisę į lengvatas, vežimą vežėjams mokėti</t>
  </si>
  <si>
    <t>Išmokėtų kompensacijų dydis</t>
  </si>
  <si>
    <t>03.02.02.006.</t>
  </si>
  <si>
    <t>Naujų ekologiškų Kauno miesto viešojo transporto priemonių įsigijimas</t>
  </si>
  <si>
    <t>Įsigytų ekologiškų transporto priemonių skaičius</t>
  </si>
  <si>
    <t>03.02.02.008.</t>
  </si>
  <si>
    <t>Vežėjų nuostoliams, patirtiems dėl keleivinio transporto paslaugų teikimo visuomenei, kompensuoti</t>
  </si>
  <si>
    <t>Viešojo transporto ridos pokytis</t>
  </si>
  <si>
    <t>03.02.02.009.</t>
  </si>
  <si>
    <t>Intelektualių informacinių sistemų plėtra ir diegimas viešojo transporto, motorinio transporto srautų valdymo ir automobilių statymo srityse</t>
  </si>
  <si>
    <t>Įdiegtų naujų priemonių skaičius</t>
  </si>
  <si>
    <t>Informacinių priemonių skaičius</t>
  </si>
  <si>
    <t>03.02.02.010.</t>
  </si>
  <si>
    <t>Viešojo transporto infrastruktūros plėtra</t>
  </si>
  <si>
    <t>03.03.</t>
  </si>
  <si>
    <t>Palaikyti saugią ir švarią aplinką, efektyviai tvarkyti atliekas</t>
  </si>
  <si>
    <t>03.03.01.</t>
  </si>
  <si>
    <t>Saugoti ir tausoti aplinką, plėtoti efektyvų komunalinių atliekų tvarkymą</t>
  </si>
  <si>
    <t>03.03.01.001.</t>
  </si>
  <si>
    <t>Aplinkos teršimo šaltinių šalinimas ir aplinkos kokybės gerinimas, įgyvendinant aplinkos apsaugos rėmimo specialiają programą</t>
  </si>
  <si>
    <t>Aplinkos apsaugos skyrius</t>
  </si>
  <si>
    <t>03.03.01.002.</t>
  </si>
  <si>
    <t>Aplinkos oro kokybės gerinimas Kauno mieste</t>
  </si>
  <si>
    <t>17,00</t>
  </si>
  <si>
    <t>03.03.01.003.</t>
  </si>
  <si>
    <t>Komunalinių atliekų konteinerių aikštelių įrengimas Kauno mieste</t>
  </si>
  <si>
    <t>Įrengtų komunalinių atliekų aikštelių skaičius</t>
  </si>
  <si>
    <t>567,00</t>
  </si>
  <si>
    <t>Įgyvendintų projekto veiklų dalis nuo visų projekto veiklų</t>
  </si>
  <si>
    <t>34,00</t>
  </si>
  <si>
    <t>03.03.01.005.</t>
  </si>
  <si>
    <t>Gėlynų, želdinių ir žaliųjų erdvių tvarkymas</t>
  </si>
  <si>
    <t>Apželdinamų ir prižiūrimų Kauno miesto vienmečių (horizontalių ir vertikalių) ir daugiamečių gėlynų plotas</t>
  </si>
  <si>
    <t>5 522,00</t>
  </si>
  <si>
    <t>6 000,00</t>
  </si>
  <si>
    <t>03.03.01.007.</t>
  </si>
  <si>
    <t>Parkų sutvarkymas (rekonstravimas), pritaikant juos visuomenės poreikiams</t>
  </si>
  <si>
    <t>Sutvarkytų parkų ir teritorijų skaičius</t>
  </si>
  <si>
    <t>03.04.</t>
  </si>
  <si>
    <t>Darniai planuoti miesto teritoriją, kurti kokybišką gyvenamąją aplinką</t>
  </si>
  <si>
    <t>03.04.01.</t>
  </si>
  <si>
    <t>03.04.01.001.</t>
  </si>
  <si>
    <t>Kompleksinių teritorijų planavimo dokumentų rengimas</t>
  </si>
  <si>
    <t>Miesto planavimo ir architektūros skyrius</t>
  </si>
  <si>
    <t>Parengtų kompleksinio planavimo dokumentų skaičius</t>
  </si>
  <si>
    <t>03.04.01.002.</t>
  </si>
  <si>
    <t>Specialiųjų planų rengimas</t>
  </si>
  <si>
    <t>Parengtų specialiųjų planų skaičius</t>
  </si>
  <si>
    <t>03.04.01.003.</t>
  </si>
  <si>
    <t>03.04.01.004.</t>
  </si>
  <si>
    <t>Poreikio ir įvykdymo santykis</t>
  </si>
  <si>
    <t>03.04.01.005.</t>
  </si>
  <si>
    <t>Juridinių faktų, susijusių su Savivaldybės nuosavybės, patikėjimo ir panaudos teise valdomais žemės sklypais, daiktinėmis teisėmis į juos ir šių teisių suvaržymais įregistravimas (išregistravimas) iš Nekilnojamojo turto registro</t>
  </si>
  <si>
    <t>03.04.01.006.</t>
  </si>
  <si>
    <t>Detaliųjų ir jiems prilygintų planų rengimas</t>
  </si>
  <si>
    <t>Savivaldybės lėšomis parengtų detaliųjų planų skaičius</t>
  </si>
  <si>
    <t>9,00</t>
  </si>
  <si>
    <t>Mieste parengtų detaliųjų planų skaičius</t>
  </si>
  <si>
    <t>03.04.01.007.</t>
  </si>
  <si>
    <t>Kadastrinių matavimų atlikimas</t>
  </si>
  <si>
    <t>Savivaldybės lėšomis atliktų kadastrinių matavimų skaičius.</t>
  </si>
  <si>
    <t>300,00</t>
  </si>
  <si>
    <t>03.04.01.008.</t>
  </si>
  <si>
    <t>Žemės sklypų formavimas</t>
  </si>
  <si>
    <t>Suformuotų sklypų skaičius</t>
  </si>
  <si>
    <t>03.04.01.009.</t>
  </si>
  <si>
    <t>Geoinformacinės duomenų bazės plėtojimas</t>
  </si>
  <si>
    <t>Naujai paklotų požeminių komunikacijų kontrolinių nuotraukų skaičius</t>
  </si>
  <si>
    <t>4 000,00</t>
  </si>
  <si>
    <t>Suderintų topografinių nuotraukų skaičius</t>
  </si>
  <si>
    <t>2 000,00</t>
  </si>
  <si>
    <t>03.04.01.011.</t>
  </si>
  <si>
    <t>Urbanistinių ir architektūrinių idėjų konkursų laimėtojų skatinimas</t>
  </si>
  <si>
    <t>Skatinimo priemonių skaičius</t>
  </si>
  <si>
    <t>03.04.01.012.</t>
  </si>
  <si>
    <t>Miesto urbanistinės ir architektūrinės kokybės gerinimas</t>
  </si>
  <si>
    <t>Svarstytų urbanistinių bei architektūros projektų pateiktų rekomendacijų kiekis</t>
  </si>
  <si>
    <t>Suorganizuotų urbanistinių-architektūrinių konkursų skaičius</t>
  </si>
  <si>
    <t>Suorganizuotų renginių skaičius</t>
  </si>
  <si>
    <t>03.04.02.</t>
  </si>
  <si>
    <t>Gerinti gyvenamąją aplinką ir viešąją infrastruktūrą.</t>
  </si>
  <si>
    <t>03.04.02.001.</t>
  </si>
  <si>
    <t>Kompleksiškas Ąžuolyno parke esančios infrastuktūros sutvarkymas, pritaikant ją visuomenės poreikiams</t>
  </si>
  <si>
    <t>Atnaujintų viešųjų erdvių plotas</t>
  </si>
  <si>
    <t>117 000,00</t>
  </si>
  <si>
    <t>03.04.02.002.</t>
  </si>
  <si>
    <t>Apžvalgos aikštelės Aleksote rekonstravimas, siekiant pritraukti privačias investicijas</t>
  </si>
  <si>
    <t>31,00</t>
  </si>
  <si>
    <t>03.04.02.003.</t>
  </si>
  <si>
    <t>Marvelės upės slėnio sutvarkymas, panaudojant teritorijos gamtinio karkaso ypatumus, siekiant  netradicinių erdvių pritaikymo kultūros ir kitoms reikmėms</t>
  </si>
  <si>
    <t>12 000,00</t>
  </si>
  <si>
    <t>03.04.02.004.</t>
  </si>
  <si>
    <t>Kauno miesto savivaldybės Nemuno ir Nevėžio santakos kraštovaizdžio draustinio kraštovaizdžio formavimas ir ekologinės būklės gerinimas</t>
  </si>
  <si>
    <t>128 000,00</t>
  </si>
  <si>
    <t>03.04.02.005.</t>
  </si>
  <si>
    <t>Visuomeninės paskirties objektų koncesijos mokesčiai</t>
  </si>
  <si>
    <t>Centrinis viešųjų pirkimų ir koncesijų skyrius</t>
  </si>
  <si>
    <t>Įgyvendinamų koncesijos sutarčių skaičius</t>
  </si>
  <si>
    <t>03.04.02.007.</t>
  </si>
  <si>
    <t>Įvažiuojamųjų kelių į gyvenamuosius kvartalus ir kiemus remontas</t>
  </si>
  <si>
    <t>Suremontuotų įvažiuojamųjų kelių į gyvenamuosius kvartalus ir kiemus plotas</t>
  </si>
  <si>
    <t>75 000,00</t>
  </si>
  <si>
    <t>100 000,00</t>
  </si>
  <si>
    <t>03.04.02.009.</t>
  </si>
  <si>
    <t>Miesto tvarkymas ir valymas</t>
  </si>
  <si>
    <t>Valomų ir tvarkomų viešųjų erdvių ploto dalis</t>
  </si>
  <si>
    <t>m3</t>
  </si>
  <si>
    <t>03.04.02.011.</t>
  </si>
  <si>
    <t>Miesto vejų priežiūra ir jos kokybės gerinimas</t>
  </si>
  <si>
    <t>Prižiūrimų (šienaujamų) vejų dalis nuo visų vejų plotų</t>
  </si>
  <si>
    <t>03.04.02.012.</t>
  </si>
  <si>
    <t>Beglobių gyvūnų gaudymas, priežiūra, ženklinimas ir registravimas</t>
  </si>
  <si>
    <t>Patekusių į įstaigą ir perduotų naujiems šeimininkams gyvūnų santykis</t>
  </si>
  <si>
    <t>03.04.02.013.</t>
  </si>
  <si>
    <t>Sąlygų aktyviam miesto gyventojų poilsiui sudarymas prižiūrint paplūdimius</t>
  </si>
  <si>
    <t>Priežiūros vykdymo patikrinimų skaičius</t>
  </si>
  <si>
    <t>03.04.02.014.</t>
  </si>
  <si>
    <t>Kapinių priežiūros administravimas, kapinių priežiūra ir neatpažintų mirusiųjų asmenų vežimas ir laidojimas</t>
  </si>
  <si>
    <t>Neatpažintų  mirusių asmenų skaičius</t>
  </si>
  <si>
    <t>Prižiūrimų kapinių ploto dalis nuo visų miesto kapinių ploto</t>
  </si>
  <si>
    <t>03.04.02.015.</t>
  </si>
  <si>
    <t>Gatvių barstymas žiemos sezono metu</t>
  </si>
  <si>
    <t>Žiemos sezonu barstomų gatvių plotas</t>
  </si>
  <si>
    <t>Panaudotų barstymo medžiagų kiekis</t>
  </si>
  <si>
    <t>4 200,00</t>
  </si>
  <si>
    <t>4 300,00</t>
  </si>
  <si>
    <t>4 500,00</t>
  </si>
  <si>
    <t>03.04.02.016.</t>
  </si>
  <si>
    <t>Miesto tvarkymo darbai (reklaminių stendų įrengimas, gatvių pavadinimų lentelių keitimas, bešeimininkio turto pašalinimas ir kt.)</t>
  </si>
  <si>
    <t>Atliktų veiklų kiekis</t>
  </si>
  <si>
    <t>120,00</t>
  </si>
  <si>
    <t>45 000,00</t>
  </si>
  <si>
    <t>35 000,00</t>
  </si>
  <si>
    <t>30 000,00</t>
  </si>
  <si>
    <t>03.04.02.017.</t>
  </si>
  <si>
    <t>S. Dariaus ir S. Girėno aerodromo infrastruktūros remonto darbai</t>
  </si>
  <si>
    <t>Remonto darbų plotas</t>
  </si>
  <si>
    <t>192,54</t>
  </si>
  <si>
    <t>03.04.02.018.</t>
  </si>
  <si>
    <t>Likviduotų avarijų mieste skaičius</t>
  </si>
  <si>
    <t>3 000,00</t>
  </si>
  <si>
    <t>03.04.02.019.</t>
  </si>
  <si>
    <t>Kompleksiškas Kauko laiptų prie Aukštaičių gatvės zonos sutvarkymas</t>
  </si>
  <si>
    <t>10 000,00</t>
  </si>
  <si>
    <t>03.04.02.020.</t>
  </si>
  <si>
    <t>Daugiaaukštės automobilių stovėjimo aikštelės prie K. Donelaičio g. 65P, Kaune, statyba</t>
  </si>
  <si>
    <t>03.04.02.021.</t>
  </si>
  <si>
    <t>Buvusios Aviacijos gamyklos teritorijos konversija</t>
  </si>
  <si>
    <t>300 000,00</t>
  </si>
  <si>
    <t>03.04.02.024.</t>
  </si>
  <si>
    <t>Nemuno salos išvystymas į multifunkcinį sveikatinimo ir kultūros kompleksą pritaikant jį visuomenės poreikiams</t>
  </si>
  <si>
    <t>45,00</t>
  </si>
  <si>
    <t>264 000,00</t>
  </si>
  <si>
    <t>03.04.02.025.</t>
  </si>
  <si>
    <t>Kapinių infrastruktūros gerinimas</t>
  </si>
  <si>
    <t>03.04.02.026.</t>
  </si>
  <si>
    <t>Teritorijos prie daugiafunkcio  S. Dariaus ir S. Girėno sveikatinimo, kultūros ir užimtumo centro, Sporto halės, Sporto g. ir jos prieigų sutvarkymas</t>
  </si>
  <si>
    <t>34 500,00</t>
  </si>
  <si>
    <t>03.04.02.028.</t>
  </si>
  <si>
    <t>Ekstremalių situacijų ir (arba) įvykių likvidavimas, jų padarinių šalinimas ir padarytų nuostolių iš dalies apmokėjimas</t>
  </si>
  <si>
    <t>Miesto civilinės saugos skyrius</t>
  </si>
  <si>
    <t>Terminas, per kurį likviduota ES ar padarytų nuostolių dalinis apmokėjimas</t>
  </si>
  <si>
    <t>03.04.02.029.</t>
  </si>
  <si>
    <t>Visuomeninės paskirties objektų prieinamumo didinimas</t>
  </si>
  <si>
    <t>Pritaikytų objektų skaičius</t>
  </si>
  <si>
    <t>03.04.02.030.</t>
  </si>
  <si>
    <t>Gričiupio parko kraštovaizdžio formavimas ir tvarkymas</t>
  </si>
  <si>
    <t>Sutvarkytas objekto plotas</t>
  </si>
  <si>
    <t>29 000,00</t>
  </si>
  <si>
    <t>75,00</t>
  </si>
  <si>
    <t>12,50</t>
  </si>
  <si>
    <t>03.04.02.031.</t>
  </si>
  <si>
    <t>Daugiabučių gyvenamųjų namų teritorijų tvarkymas</t>
  </si>
  <si>
    <t>Sutvarkytų teritorijų plotas</t>
  </si>
  <si>
    <t>40 000,00</t>
  </si>
  <si>
    <t>Iš viso</t>
  </si>
  <si>
    <t>Pavadinimas</t>
  </si>
  <si>
    <t>DARNAUS TERITORIJŲ IR INFRASTRUKTŪROS VYSTYMO PROGRAMOS TIKSLŲ, UŽDAVINIŲ, PRIEMONIŲ IR JŲ IŠLAIDŲ, VERTINIMO KRITERIJŲ IR RODIKLIŲ SUVESTINĖ</t>
  </si>
  <si>
    <t>pagal poreikį iš direktoriaus fondo rezervo</t>
  </si>
  <si>
    <t>2018 m. skirta lėšų</t>
  </si>
  <si>
    <t>2019 m. skirta lėšų</t>
  </si>
  <si>
    <t>2020 m. skirta lėšų</t>
  </si>
  <si>
    <t>Indėlio (proceso) kriterijai</t>
  </si>
  <si>
    <t>Proc.</t>
  </si>
  <si>
    <t>Km</t>
  </si>
  <si>
    <t>Vnt.</t>
  </si>
  <si>
    <t>Mato Vnt.</t>
  </si>
  <si>
    <t>Kwh</t>
  </si>
  <si>
    <t>Kv. m.</t>
  </si>
  <si>
    <t>Stacionarių prevencinės greičio matavimo ir raudonos šviesos signalo pažeidimo sistemų  sankryžoje diegimas ir eksploatavimas</t>
  </si>
  <si>
    <t>Vasaros metu laistomų žvyruotų kelių dalis nuo visų žvyruotų kelių</t>
  </si>
  <si>
    <t>Atkuriamosios vertės lėšų, gautų už sunaikintus saugotinus želdinius, pokytis, palyginti su praėjusiais metais</t>
  </si>
  <si>
    <t>Genimų medžių ir kertamų avarinių medžių kiekis, palyginti su praėjusiais metais</t>
  </si>
  <si>
    <t>Planuoti miesto teritorijų ir infrastruktūros plėtrą</t>
  </si>
  <si>
    <t>Parengtų architektūrinių-             -urbanistinių studijų skaičius</t>
  </si>
  <si>
    <t>Teritorijų (funkcinio, erdvinio ir meninio) aplinkos formavimo (plėtojimo) studijų rengimas</t>
  </si>
  <si>
    <t>Žemės paėmimas visuomenės poreikiams, įgijimas Savivaldybės nuosavybėn  ir miško žemės pavertimas kitomis naudmenomis</t>
  </si>
  <si>
    <t>Išmokėtos lėšos žalai kompensuoti</t>
  </si>
  <si>
    <t>Avarijų Kauno mieste likvidavimo užtikrinimas (Avarinės tarnybos ir dispečerinės veikla)</t>
  </si>
  <si>
    <t>D.</t>
  </si>
  <si>
    <t>Ateities plento tęsinio nuo Palemono g. iki T. Masiulio g. tiesyba</t>
  </si>
  <si>
    <t>2018 m.</t>
  </si>
  <si>
    <t>2019 m.</t>
  </si>
  <si>
    <t>2020 m.</t>
  </si>
  <si>
    <t>Vidutinės vieno šviesoforo eksploatacijos išlaidos</t>
  </si>
  <si>
    <t>_________________________________________________________________</t>
  </si>
  <si>
    <t>t188004 priedas.docx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</si>
</sst>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27]#,##0.00;\-#,##0.00;&quot;&quot;"/>
    <numFmt numFmtId="165" formatCode="#,##0.00_ ;\-#,##0.00\ "/>
  </numFmts>
  <fonts count="6" x14ac:knownFonts="1"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7F97A"/>
        <bgColor rgb="FFF7F97A"/>
      </patternFill>
    </fill>
    <fill>
      <patternFill patternType="solid">
        <fgColor rgb="FFC6F0F4"/>
        <bgColor rgb="FFC6F0F4"/>
      </patternFill>
    </fill>
    <fill>
      <patternFill patternType="solid">
        <fgColor rgb="FFF0D9F5"/>
        <bgColor rgb="FFF0D9F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Border="0"/>
    <xf numFmtId="0" fontId="5" fillId="0" borderId="0" applyNumberFormat="0" applyFill="0" applyBorder="0" applyAlignment="0" applyProtection="0"/>
  </cellStyleXfs>
  <cellXfs count="221">
    <xf numFmtId="0" fontId="0" fillId="0" borderId="0" xfId="0" applyNumberFormat="1" applyFill="1" applyAlignment="1" applyProtection="1"/>
    <xf numFmtId="0" fontId="2" fillId="4" borderId="1" xfId="0" applyNumberFormat="1" applyFont="1" applyFill="1" applyBorder="1" applyAlignment="1" applyProtection="1">
      <alignment vertical="top" wrapText="1" readingOrder="1"/>
      <protection locked="0"/>
    </xf>
    <xf numFmtId="0" fontId="2" fillId="0" borderId="1" xfId="0" applyNumberFormat="1" applyFont="1" applyFill="1" applyBorder="1" applyAlignment="1" applyProtection="1">
      <alignment vertical="top" wrapText="1" readingOrder="1"/>
      <protection locked="0"/>
    </xf>
    <xf numFmtId="0" fontId="2" fillId="0" borderId="2" xfId="0" applyNumberFormat="1" applyFont="1" applyFill="1" applyBorder="1" applyAlignment="1" applyProtection="1">
      <alignment vertical="top" wrapText="1" readingOrder="1"/>
      <protection locked="0"/>
    </xf>
    <xf numFmtId="0" fontId="2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164" fontId="2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2" fillId="0" borderId="2" xfId="0" applyNumberFormat="1" applyFont="1" applyFill="1" applyBorder="1" applyAlignment="1" applyProtection="1">
      <alignment horizontal="right" vertical="top" wrapText="1" readingOrder="1"/>
    </xf>
    <xf numFmtId="0" fontId="2" fillId="0" borderId="4" xfId="0" applyNumberFormat="1" applyFont="1" applyFill="1" applyBorder="1" applyAlignment="1" applyProtection="1">
      <alignment horizontal="left" vertical="top" wrapText="1" readingOrder="1"/>
      <protection locked="0"/>
    </xf>
    <xf numFmtId="164" fontId="2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5" borderId="0" xfId="0" applyNumberFormat="1" applyFont="1" applyFill="1" applyAlignment="1" applyProtection="1">
      <alignment vertical="top" wrapText="1" readingOrder="1"/>
      <protection locked="0"/>
    </xf>
    <xf numFmtId="0" fontId="1" fillId="5" borderId="0" xfId="0" applyNumberFormat="1" applyFont="1" applyFill="1" applyAlignment="1" applyProtection="1">
      <alignment horizontal="left" vertical="top" wrapText="1" readingOrder="1"/>
      <protection locked="0"/>
    </xf>
    <xf numFmtId="164" fontId="1" fillId="5" borderId="0" xfId="0" applyNumberFormat="1" applyFont="1" applyFill="1" applyAlignment="1" applyProtection="1">
      <alignment horizontal="right" vertical="top" wrapText="1" readingOrder="1"/>
      <protection locked="0"/>
    </xf>
    <xf numFmtId="0" fontId="1" fillId="5" borderId="0" xfId="0" applyNumberFormat="1" applyFont="1" applyFill="1" applyAlignment="1" applyProtection="1">
      <alignment horizontal="right" vertical="top" wrapText="1" readingOrder="1"/>
      <protection locked="0"/>
    </xf>
    <xf numFmtId="0" fontId="2" fillId="0" borderId="0" xfId="0" applyNumberFormat="1" applyFont="1" applyFill="1" applyAlignment="1" applyProtection="1">
      <alignment wrapText="1"/>
    </xf>
    <xf numFmtId="0" fontId="2" fillId="5" borderId="0" xfId="0" applyNumberFormat="1" applyFont="1" applyFill="1" applyAlignment="1" applyProtection="1">
      <alignment wrapText="1"/>
    </xf>
    <xf numFmtId="0" fontId="2" fillId="0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" borderId="2" xfId="0" applyNumberFormat="1" applyFont="1" applyFill="1" applyBorder="1" applyAlignment="1" applyProtection="1">
      <alignment vertical="center" wrapText="1" readingOrder="1"/>
      <protection locked="0"/>
    </xf>
    <xf numFmtId="0" fontId="2" fillId="4" borderId="2" xfId="0" applyNumberFormat="1" applyFont="1" applyFill="1" applyBorder="1" applyAlignment="1" applyProtection="1">
      <alignment vertical="center" wrapText="1" readingOrder="1"/>
      <protection locked="0"/>
    </xf>
    <xf numFmtId="0" fontId="2" fillId="0" borderId="2" xfId="0" applyNumberFormat="1" applyFont="1" applyFill="1" applyBorder="1" applyAlignment="1" applyProtection="1">
      <alignment vertical="center" wrapText="1" readingOrder="1"/>
      <protection locked="0"/>
    </xf>
    <xf numFmtId="164" fontId="2" fillId="0" borderId="2" xfId="0" applyNumberFormat="1" applyFont="1" applyFill="1" applyBorder="1" applyAlignment="1" applyProtection="1">
      <alignment vertical="center" wrapText="1" readingOrder="1"/>
    </xf>
    <xf numFmtId="164" fontId="2" fillId="0" borderId="2" xfId="0" applyNumberFormat="1" applyFont="1" applyFill="1" applyBorder="1" applyAlignment="1" applyProtection="1">
      <alignment horizontal="right" vertical="center" wrapText="1" readingOrder="1"/>
    </xf>
    <xf numFmtId="164" fontId="2" fillId="0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3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2" fillId="4" borderId="2" xfId="0" applyNumberFormat="1" applyFont="1" applyFill="1" applyBorder="1" applyAlignment="1" applyProtection="1">
      <alignment horizontal="right" vertical="center" wrapText="1" readingOrder="1"/>
    </xf>
    <xf numFmtId="0" fontId="2" fillId="0" borderId="1" xfId="0" applyNumberFormat="1" applyFont="1" applyFill="1" applyBorder="1" applyAlignment="1" applyProtection="1">
      <alignment vertical="center" wrapText="1" readingOrder="1"/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5" borderId="0" xfId="0" applyNumberFormat="1" applyFont="1" applyFill="1" applyAlignment="1" applyProtection="1">
      <alignment horizontal="center" vertical="center" wrapText="1" readingOrder="1"/>
      <protection locked="0"/>
    </xf>
    <xf numFmtId="164" fontId="2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3" fontId="2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2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4" xfId="0" applyNumberFormat="1" applyFont="1" applyFill="1" applyBorder="1" applyAlignment="1" applyProtection="1">
      <alignment vertical="center" wrapText="1" readingOrder="1"/>
      <protection locked="0"/>
    </xf>
    <xf numFmtId="0" fontId="3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" borderId="1" xfId="0" applyNumberFormat="1" applyFont="1" applyFill="1" applyBorder="1" applyAlignment="1" applyProtection="1">
      <alignment vertical="center" wrapText="1" readingOrder="1"/>
      <protection locked="0"/>
    </xf>
    <xf numFmtId="0" fontId="2" fillId="4" borderId="1" xfId="0" applyNumberFormat="1" applyFont="1" applyFill="1" applyBorder="1" applyAlignment="1" applyProtection="1">
      <alignment vertical="center" wrapText="1" readingOrder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2" fillId="3" borderId="2" xfId="0" applyNumberFormat="1" applyFont="1" applyFill="1" applyBorder="1" applyAlignment="1" applyProtection="1">
      <alignment horizontal="center" vertical="center" wrapText="1" readingOrder="1"/>
    </xf>
    <xf numFmtId="164" fontId="2" fillId="4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2" xfId="0" applyNumberFormat="1" applyFont="1" applyFill="1" applyBorder="1" applyAlignment="1" applyProtection="1">
      <alignment wrapText="1" readingOrder="1"/>
      <protection locked="0"/>
    </xf>
    <xf numFmtId="164" fontId="2" fillId="6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6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6" borderId="3" xfId="0" applyNumberFormat="1" applyFont="1" applyFill="1" applyBorder="1" applyAlignment="1" applyProtection="1">
      <alignment horizontal="center" vertical="center" wrapText="1" readingOrder="1"/>
      <protection locked="0"/>
    </xf>
    <xf numFmtId="164" fontId="2" fillId="0" borderId="4" xfId="0" applyNumberFormat="1" applyFont="1" applyFill="1" applyBorder="1" applyAlignment="1" applyProtection="1">
      <alignment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6" borderId="1" xfId="0" applyNumberFormat="1" applyFont="1" applyFill="1" applyBorder="1" applyAlignment="1" applyProtection="1">
      <alignment vertical="top" wrapText="1" readingOrder="1"/>
      <protection locked="0"/>
    </xf>
    <xf numFmtId="0" fontId="2" fillId="6" borderId="2" xfId="0" applyNumberFormat="1" applyFont="1" applyFill="1" applyBorder="1" applyAlignment="1" applyProtection="1">
      <alignment vertical="top" wrapText="1" readingOrder="1"/>
      <protection locked="0"/>
    </xf>
    <xf numFmtId="0" fontId="2" fillId="6" borderId="3" xfId="0" applyNumberFormat="1" applyFont="1" applyFill="1" applyBorder="1" applyAlignment="1" applyProtection="1">
      <alignment horizontal="right" vertical="top" wrapText="1" readingOrder="1"/>
      <protection locked="0"/>
    </xf>
    <xf numFmtId="2" fontId="2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2" fontId="2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2" fontId="2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2" fontId="2" fillId="6" borderId="4" xfId="0" applyNumberFormat="1" applyFont="1" applyFill="1" applyBorder="1" applyAlignment="1" applyProtection="1">
      <alignment horizontal="center" vertical="center" wrapText="1" readingOrder="1"/>
      <protection locked="0"/>
    </xf>
    <xf numFmtId="2" fontId="2" fillId="6" borderId="5" xfId="0" applyNumberFormat="1" applyFont="1" applyFill="1" applyBorder="1" applyAlignment="1" applyProtection="1">
      <alignment horizontal="center" vertical="center" wrapText="1" readingOrder="1"/>
      <protection locked="0"/>
    </xf>
    <xf numFmtId="2" fontId="2" fillId="6" borderId="2" xfId="0" applyNumberFormat="1" applyFont="1" applyFill="1" applyBorder="1" applyAlignment="1" applyProtection="1">
      <alignment horizontal="center" vertical="center" wrapText="1" readingOrder="1"/>
      <protection locked="0"/>
    </xf>
    <xf numFmtId="2" fontId="2" fillId="6" borderId="3" xfId="0" applyNumberFormat="1" applyFont="1" applyFill="1" applyBorder="1" applyAlignment="1" applyProtection="1">
      <alignment horizontal="center" vertical="center" wrapText="1" readingOrder="1"/>
      <protection locked="0"/>
    </xf>
    <xf numFmtId="2" fontId="4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2" fontId="4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164" fontId="2" fillId="6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6" borderId="2" xfId="0" applyNumberFormat="1" applyFont="1" applyFill="1" applyBorder="1" applyAlignment="1" applyProtection="1">
      <alignment vertical="center" wrapText="1" readingOrder="1"/>
      <protection locked="0"/>
    </xf>
    <xf numFmtId="0" fontId="2" fillId="6" borderId="0" xfId="0" applyNumberFormat="1" applyFont="1" applyFill="1" applyAlignment="1" applyProtection="1">
      <alignment wrapText="1"/>
    </xf>
    <xf numFmtId="0" fontId="2" fillId="6" borderId="1" xfId="0" applyNumberFormat="1" applyFont="1" applyFill="1" applyBorder="1" applyAlignment="1" applyProtection="1">
      <alignment vertical="center" wrapText="1" readingOrder="1"/>
      <protection locked="0"/>
    </xf>
    <xf numFmtId="0" fontId="2" fillId="6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6" borderId="0" xfId="0" applyNumberFormat="1" applyFont="1" applyFill="1" applyAlignment="1" applyProtection="1">
      <alignment horizontal="center" vertical="center" wrapText="1"/>
    </xf>
    <xf numFmtId="164" fontId="2" fillId="6" borderId="2" xfId="0" applyNumberFormat="1" applyFont="1" applyFill="1" applyBorder="1" applyAlignment="1" applyProtection="1">
      <alignment horizontal="center" vertical="center" wrapText="1" readingOrder="1"/>
    </xf>
    <xf numFmtId="3" fontId="2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3" fontId="2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64" fontId="2" fillId="6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2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Alignment="1" applyProtection="1">
      <alignment vertical="center" wrapText="1"/>
    </xf>
    <xf numFmtId="0" fontId="1" fillId="7" borderId="6" xfId="0" applyNumberFormat="1" applyFont="1" applyFill="1" applyBorder="1" applyAlignment="1" applyProtection="1">
      <alignment horizontal="center" vertical="center" wrapText="1" readingOrder="1"/>
    </xf>
    <xf numFmtId="0" fontId="1" fillId="7" borderId="7" xfId="0" applyNumberFormat="1" applyFont="1" applyFill="1" applyBorder="1" applyAlignment="1" applyProtection="1">
      <alignment horizontal="center" vertical="center" wrapText="1" readingOrder="1"/>
    </xf>
    <xf numFmtId="165" fontId="2" fillId="4" borderId="2" xfId="0" applyNumberFormat="1" applyFont="1" applyFill="1" applyBorder="1" applyAlignment="1" applyProtection="1">
      <alignment horizontal="right" vertical="center" wrapText="1" readingOrder="1"/>
    </xf>
    <xf numFmtId="164" fontId="1" fillId="2" borderId="2" xfId="0" applyNumberFormat="1" applyFont="1" applyFill="1" applyBorder="1" applyAlignment="1" applyProtection="1">
      <alignment horizontal="center" vertical="center" wrapText="1" readingOrder="1"/>
    </xf>
    <xf numFmtId="0" fontId="1" fillId="2" borderId="1" xfId="0" applyNumberFormat="1" applyFont="1" applyFill="1" applyBorder="1" applyAlignment="1" applyProtection="1">
      <alignment vertical="center" wrapText="1" readingOrder="1"/>
      <protection locked="0"/>
    </xf>
    <xf numFmtId="0" fontId="1" fillId="5" borderId="0" xfId="0" applyNumberFormat="1" applyFont="1" applyFill="1" applyAlignment="1" applyProtection="1">
      <alignment horizontal="left" vertical="center" wrapText="1" readingOrder="1"/>
      <protection locked="0"/>
    </xf>
    <xf numFmtId="0" fontId="2" fillId="0" borderId="0" xfId="0" applyNumberFormat="1" applyFont="1" applyFill="1" applyAlignment="1" applyProtection="1">
      <alignment horizontal="left" vertical="center" wrapText="1"/>
    </xf>
    <xf numFmtId="0" fontId="5" fillId="0" borderId="29" xfId="1" applyNumberFormat="1" applyFill="1" applyBorder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1" fillId="7" borderId="8" xfId="0" applyNumberFormat="1" applyFont="1" applyFill="1" applyBorder="1" applyAlignment="1" applyProtection="1">
      <alignment horizontal="center" vertical="center" wrapText="1" readingOrder="1"/>
    </xf>
    <xf numFmtId="0" fontId="1" fillId="7" borderId="9" xfId="0" applyNumberFormat="1" applyFont="1" applyFill="1" applyBorder="1" applyAlignment="1" applyProtection="1">
      <alignment horizontal="center" vertical="center" wrapText="1" readingOrder="1"/>
    </xf>
    <xf numFmtId="0" fontId="1" fillId="7" borderId="10" xfId="0" applyNumberFormat="1" applyFont="1" applyFill="1" applyBorder="1" applyAlignment="1" applyProtection="1">
      <alignment horizontal="center" vertical="center" wrapText="1" readingOrder="1"/>
    </xf>
    <xf numFmtId="0" fontId="1" fillId="2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2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2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2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2" borderId="12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2" borderId="14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3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3" borderId="12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3" borderId="14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4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4" borderId="12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4" borderId="14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3" borderId="13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4" borderId="13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7" borderId="18" xfId="0" applyNumberFormat="1" applyFont="1" applyFill="1" applyBorder="1" applyAlignment="1" applyProtection="1">
      <alignment horizontal="center" vertical="center" wrapText="1" readingOrder="1"/>
    </xf>
    <xf numFmtId="0" fontId="1" fillId="7" borderId="19" xfId="0" applyNumberFormat="1" applyFont="1" applyFill="1" applyBorder="1" applyAlignment="1" applyProtection="1">
      <alignment horizontal="center" vertical="center" wrapText="1" readingOrder="1"/>
    </xf>
    <xf numFmtId="0" fontId="1" fillId="7" borderId="20" xfId="0" applyNumberFormat="1" applyFont="1" applyFill="1" applyBorder="1" applyAlignment="1" applyProtection="1">
      <alignment horizontal="center" vertical="center" wrapText="1" readingOrder="1"/>
    </xf>
    <xf numFmtId="164" fontId="2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164" fontId="2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NumberFormat="1" applyFont="1" applyFill="1" applyBorder="1" applyAlignment="1" applyProtection="1">
      <alignment vertical="center" wrapText="1" readingOrder="1"/>
      <protection locked="0"/>
    </xf>
    <xf numFmtId="0" fontId="2" fillId="0" borderId="16" xfId="0" applyNumberFormat="1" applyFont="1" applyFill="1" applyBorder="1" applyAlignment="1" applyProtection="1">
      <alignment vertical="center" wrapText="1" readingOrder="1"/>
      <protection locked="0"/>
    </xf>
    <xf numFmtId="0" fontId="2" fillId="0" borderId="17" xfId="0" applyNumberFormat="1" applyFont="1" applyFill="1" applyBorder="1" applyAlignment="1" applyProtection="1">
      <alignment vertical="center" wrapText="1" readingOrder="1"/>
      <protection locked="0"/>
    </xf>
    <xf numFmtId="0" fontId="2" fillId="0" borderId="18" xfId="0" applyNumberFormat="1" applyFont="1" applyFill="1" applyBorder="1" applyAlignment="1" applyProtection="1">
      <alignment vertical="center" wrapText="1" readingOrder="1"/>
      <protection locked="0"/>
    </xf>
    <xf numFmtId="0" fontId="2" fillId="0" borderId="19" xfId="0" applyNumberFormat="1" applyFont="1" applyFill="1" applyBorder="1" applyAlignment="1" applyProtection="1">
      <alignment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vertical="center"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23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24" xfId="0" applyNumberFormat="1" applyFont="1" applyFill="1" applyBorder="1" applyAlignment="1" applyProtection="1">
      <alignment horizontal="center" vertical="top" wrapText="1" readingOrder="1"/>
      <protection locked="0"/>
    </xf>
    <xf numFmtId="164" fontId="2" fillId="0" borderId="18" xfId="0" applyNumberFormat="1" applyFont="1" applyFill="1" applyBorder="1" applyAlignment="1" applyProtection="1">
      <alignment horizontal="center" vertical="top" wrapText="1" readingOrder="1"/>
    </xf>
    <xf numFmtId="164" fontId="2" fillId="0" borderId="19" xfId="0" applyNumberFormat="1" applyFont="1" applyFill="1" applyBorder="1" applyAlignment="1" applyProtection="1">
      <alignment horizontal="center" vertical="top" wrapText="1" readingOrder="1"/>
    </xf>
    <xf numFmtId="164" fontId="2" fillId="0" borderId="20" xfId="0" applyNumberFormat="1" applyFont="1" applyFill="1" applyBorder="1" applyAlignment="1" applyProtection="1">
      <alignment horizontal="center" vertical="top" wrapText="1" readingOrder="1"/>
    </xf>
    <xf numFmtId="0" fontId="2" fillId="4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" borderId="13" xfId="0" applyNumberFormat="1" applyFont="1" applyFill="1" applyBorder="1" applyAlignment="1" applyProtection="1">
      <alignment horizontal="left" vertical="center" wrapText="1" readingOrder="1"/>
      <protection locked="0"/>
    </xf>
    <xf numFmtId="164" fontId="2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164" fontId="2" fillId="0" borderId="18" xfId="0" applyNumberFormat="1" applyFont="1" applyFill="1" applyBorder="1" applyAlignment="1" applyProtection="1">
      <alignment horizontal="center" vertical="center" wrapText="1" readingOrder="1"/>
    </xf>
    <xf numFmtId="164" fontId="2" fillId="0" borderId="19" xfId="0" applyNumberFormat="1" applyFont="1" applyFill="1" applyBorder="1" applyAlignment="1" applyProtection="1">
      <alignment horizontal="center" vertical="center" wrapText="1" readingOrder="1"/>
    </xf>
    <xf numFmtId="164" fontId="2" fillId="0" borderId="20" xfId="0" applyNumberFormat="1" applyFont="1" applyFill="1" applyBorder="1" applyAlignment="1" applyProtection="1">
      <alignment horizontal="center" vertical="center" wrapText="1" readingOrder="1"/>
    </xf>
    <xf numFmtId="0" fontId="2" fillId="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31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21" xfId="0" applyNumberFormat="1" applyFont="1" applyFill="1" applyBorder="1" applyAlignment="1" applyProtection="1">
      <alignment horizontal="left" vertical="center" wrapText="1" readingOrder="1"/>
      <protection locked="0"/>
    </xf>
    <xf numFmtId="164" fontId="2" fillId="0" borderId="25" xfId="0" applyNumberFormat="1" applyFont="1" applyFill="1" applyBorder="1" applyAlignment="1" applyProtection="1">
      <alignment horizontal="center" vertical="top" wrapText="1" readingOrder="1"/>
    </xf>
    <xf numFmtId="164" fontId="2" fillId="0" borderId="26" xfId="0" applyNumberFormat="1" applyFont="1" applyFill="1" applyBorder="1" applyAlignment="1" applyProtection="1">
      <alignment horizontal="center" vertical="top" wrapText="1" readingOrder="1"/>
    </xf>
    <xf numFmtId="164" fontId="2" fillId="0" borderId="27" xfId="0" applyNumberFormat="1" applyFont="1" applyFill="1" applyBorder="1" applyAlignment="1" applyProtection="1">
      <alignment horizontal="center" vertical="top" wrapText="1" readingOrder="1"/>
    </xf>
    <xf numFmtId="164" fontId="2" fillId="0" borderId="28" xfId="0" applyNumberFormat="1" applyFont="1" applyFill="1" applyBorder="1" applyAlignment="1" applyProtection="1">
      <alignment horizontal="center" vertical="top" wrapText="1" readingOrder="1"/>
    </xf>
    <xf numFmtId="164" fontId="2" fillId="0" borderId="29" xfId="0" applyNumberFormat="1" applyFont="1" applyFill="1" applyBorder="1" applyAlignment="1" applyProtection="1">
      <alignment horizontal="center" vertical="top" wrapText="1" readingOrder="1"/>
    </xf>
    <xf numFmtId="164" fontId="2" fillId="0" borderId="30" xfId="0" applyNumberFormat="1" applyFont="1" applyFill="1" applyBorder="1" applyAlignment="1" applyProtection="1">
      <alignment horizontal="center" vertical="top" wrapText="1" readingOrder="1"/>
    </xf>
    <xf numFmtId="0" fontId="2" fillId="0" borderId="18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9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1" xfId="0" applyNumberFormat="1" applyFont="1" applyFill="1" applyBorder="1" applyAlignment="1" applyProtection="1">
      <alignment vertical="center" wrapText="1" readingOrder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8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19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20" xfId="0" applyNumberFormat="1" applyFont="1" applyFill="1" applyBorder="1" applyAlignment="1" applyProtection="1">
      <alignment horizontal="center" vertical="top" wrapText="1" readingOrder="1"/>
      <protection locked="0"/>
    </xf>
    <xf numFmtId="164" fontId="2" fillId="0" borderId="21" xfId="0" applyNumberFormat="1" applyFont="1" applyFill="1" applyBorder="1" applyAlignment="1" applyProtection="1">
      <alignment horizontal="center" vertical="top" wrapText="1" readingOrder="1"/>
      <protection locked="0"/>
    </xf>
    <xf numFmtId="164" fontId="2" fillId="0" borderId="19" xfId="0" applyNumberFormat="1" applyFont="1" applyFill="1" applyBorder="1" applyAlignment="1" applyProtection="1">
      <alignment horizontal="center" vertical="top" wrapText="1" readingOrder="1"/>
      <protection locked="0"/>
    </xf>
    <xf numFmtId="164" fontId="2" fillId="0" borderId="20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 readingOrder="1"/>
      <protection locked="0"/>
    </xf>
    <xf numFmtId="3" fontId="2" fillId="0" borderId="18" xfId="0" applyNumberFormat="1" applyFont="1" applyFill="1" applyBorder="1" applyAlignment="1" applyProtection="1">
      <alignment vertical="center" wrapText="1" readingOrder="1"/>
      <protection locked="0"/>
    </xf>
    <xf numFmtId="3" fontId="2" fillId="0" borderId="19" xfId="0" applyNumberFormat="1" applyFont="1" applyFill="1" applyBorder="1" applyAlignment="1" applyProtection="1">
      <alignment vertical="center" wrapText="1" readingOrder="1"/>
      <protection locked="0"/>
    </xf>
    <xf numFmtId="3" fontId="2" fillId="0" borderId="20" xfId="0" applyNumberFormat="1" applyFont="1" applyFill="1" applyBorder="1" applyAlignment="1" applyProtection="1">
      <alignment vertical="center" wrapText="1" readingOrder="1"/>
      <protection locked="0"/>
    </xf>
    <xf numFmtId="3" fontId="2" fillId="0" borderId="22" xfId="0" applyNumberFormat="1" applyFont="1" applyFill="1" applyBorder="1" applyAlignment="1" applyProtection="1">
      <alignment vertical="center" wrapText="1" readingOrder="1"/>
      <protection locked="0"/>
    </xf>
    <xf numFmtId="3" fontId="2" fillId="0" borderId="23" xfId="0" applyNumberFormat="1" applyFont="1" applyFill="1" applyBorder="1" applyAlignment="1" applyProtection="1">
      <alignment vertical="center" wrapText="1" readingOrder="1"/>
      <protection locked="0"/>
    </xf>
    <xf numFmtId="3" fontId="2" fillId="0" borderId="24" xfId="0" applyNumberFormat="1" applyFont="1" applyFill="1" applyBorder="1" applyAlignment="1" applyProtection="1">
      <alignment vertical="center" wrapText="1" readingOrder="1"/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17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6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6" borderId="16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6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6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6" borderId="20" xfId="0" applyNumberFormat="1" applyFont="1" applyFill="1" applyBorder="1" applyAlignment="1" applyProtection="1">
      <alignment horizontal="left" vertical="center" wrapText="1" readingOrder="1"/>
      <protection locked="0"/>
    </xf>
    <xf numFmtId="164" fontId="2" fillId="6" borderId="18" xfId="0" applyNumberFormat="1" applyFont="1" applyFill="1" applyBorder="1" applyAlignment="1" applyProtection="1">
      <alignment horizontal="center" vertical="top" wrapText="1" readingOrder="1"/>
    </xf>
    <xf numFmtId="164" fontId="2" fillId="6" borderId="19" xfId="0" applyNumberFormat="1" applyFont="1" applyFill="1" applyBorder="1" applyAlignment="1" applyProtection="1">
      <alignment horizontal="center" vertical="top" wrapText="1" readingOrder="1"/>
    </xf>
    <xf numFmtId="164" fontId="2" fillId="6" borderId="20" xfId="0" applyNumberFormat="1" applyFont="1" applyFill="1" applyBorder="1" applyAlignment="1" applyProtection="1">
      <alignment horizontal="center" vertical="top" wrapText="1" readingOrder="1"/>
    </xf>
    <xf numFmtId="0" fontId="2" fillId="6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6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6" borderId="20" xfId="0" applyNumberFormat="1" applyFont="1" applyFill="1" applyBorder="1" applyAlignment="1" applyProtection="1">
      <alignment horizontal="center" vertical="center" wrapText="1" readingOrder="1"/>
      <protection locked="0"/>
    </xf>
    <xf numFmtId="2" fontId="2" fillId="6" borderId="18" xfId="0" applyNumberFormat="1" applyFont="1" applyFill="1" applyBorder="1" applyAlignment="1" applyProtection="1">
      <alignment horizontal="center" vertical="center" wrapText="1" readingOrder="1"/>
      <protection locked="0"/>
    </xf>
    <xf numFmtId="2" fontId="2" fillId="6" borderId="19" xfId="0" applyNumberFormat="1" applyFont="1" applyFill="1" applyBorder="1" applyAlignment="1" applyProtection="1">
      <alignment horizontal="center" vertical="center" wrapText="1" readingOrder="1"/>
      <protection locked="0"/>
    </xf>
    <xf numFmtId="2" fontId="2" fillId="6" borderId="20" xfId="0" applyNumberFormat="1" applyFont="1" applyFill="1" applyBorder="1" applyAlignment="1" applyProtection="1">
      <alignment horizontal="center" vertical="center" wrapText="1" readingOrder="1"/>
      <protection locked="0"/>
    </xf>
    <xf numFmtId="2" fontId="2" fillId="6" borderId="22" xfId="0" applyNumberFormat="1" applyFont="1" applyFill="1" applyBorder="1" applyAlignment="1" applyProtection="1">
      <alignment horizontal="center" vertical="center" wrapText="1" readingOrder="1"/>
      <protection locked="0"/>
    </xf>
    <xf numFmtId="2" fontId="2" fillId="6" borderId="23" xfId="0" applyNumberFormat="1" applyFont="1" applyFill="1" applyBorder="1" applyAlignment="1" applyProtection="1">
      <alignment horizontal="center" vertical="center" wrapText="1" readingOrder="1"/>
      <protection locked="0"/>
    </xf>
    <xf numFmtId="2" fontId="2" fillId="6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 readingOrder="1"/>
      <protection locked="0"/>
    </xf>
    <xf numFmtId="0" fontId="1" fillId="5" borderId="35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7" borderId="15" xfId="0" applyNumberFormat="1" applyFont="1" applyFill="1" applyBorder="1" applyAlignment="1" applyProtection="1">
      <alignment horizontal="center" vertical="center" wrapText="1" readingOrder="1"/>
    </xf>
    <xf numFmtId="0" fontId="1" fillId="7" borderId="16" xfId="0" applyNumberFormat="1" applyFont="1" applyFill="1" applyBorder="1" applyAlignment="1" applyProtection="1">
      <alignment horizontal="center" vertical="center" wrapText="1" readingOrder="1"/>
    </xf>
    <xf numFmtId="0" fontId="1" fillId="7" borderId="17" xfId="0" applyNumberFormat="1" applyFont="1" applyFill="1" applyBorder="1" applyAlignment="1" applyProtection="1">
      <alignment horizontal="center" vertical="center" wrapText="1" readingOrder="1"/>
    </xf>
    <xf numFmtId="0" fontId="1" fillId="0" borderId="0" xfId="0" applyNumberFormat="1" applyFont="1" applyFill="1" applyAlignment="1" applyProtection="1">
      <alignment horizontal="center" vertical="center" wrapText="1"/>
    </xf>
    <xf numFmtId="164" fontId="2" fillId="6" borderId="11" xfId="0" applyNumberFormat="1" applyFont="1" applyFill="1" applyBorder="1" applyAlignment="1" applyProtection="1">
      <alignment horizontal="left" vertical="center" wrapText="1" readingOrder="1"/>
      <protection locked="0"/>
    </xf>
    <xf numFmtId="164" fontId="2" fillId="6" borderId="12" xfId="0" applyNumberFormat="1" applyFont="1" applyFill="1" applyBorder="1" applyAlignment="1" applyProtection="1">
      <alignment horizontal="left" vertical="center" wrapText="1" readingOrder="1"/>
      <protection locked="0"/>
    </xf>
    <xf numFmtId="164" fontId="2" fillId="6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7" borderId="32" xfId="0" applyNumberFormat="1" applyFont="1" applyFill="1" applyBorder="1" applyAlignment="1" applyProtection="1">
      <alignment horizontal="center" vertical="center" wrapText="1" readingOrder="1"/>
    </xf>
    <xf numFmtId="0" fontId="1" fillId="7" borderId="33" xfId="0" applyNumberFormat="1" applyFont="1" applyFill="1" applyBorder="1" applyAlignment="1" applyProtection="1">
      <alignment horizontal="center" vertical="center" wrapText="1" readingOrder="1"/>
    </xf>
    <xf numFmtId="0" fontId="1" fillId="7" borderId="34" xfId="0" applyNumberFormat="1" applyFont="1" applyFill="1" applyBorder="1" applyAlignment="1" applyProtection="1">
      <alignment horizontal="center" vertical="center" wrapText="1" readingOrder="1"/>
    </xf>
    <xf numFmtId="0" fontId="1" fillId="7" borderId="21" xfId="0" applyNumberFormat="1" applyFont="1" applyFill="1" applyBorder="1" applyAlignment="1" applyProtection="1">
      <alignment horizontal="center" vertical="center" wrapText="1" readingOrder="1"/>
    </xf>
    <xf numFmtId="0" fontId="2" fillId="0" borderId="16" xfId="0" applyNumberFormat="1" applyFont="1" applyFill="1" applyBorder="1" applyAlignment="1" applyProtection="1">
      <alignment horizontal="center" vertical="top" wrapText="1" readingOrder="1"/>
      <protection locked="0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vitaroma\Downloads\t188004%20pried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6"/>
  <sheetViews>
    <sheetView tabSelected="1" showWhiteSpace="0" view="pageLayout" zoomScaleNormal="70" workbookViewId="0">
      <selection activeCell="I3" sqref="I3:J3"/>
    </sheetView>
  </sheetViews>
  <sheetFormatPr defaultColWidth="9.140625" defaultRowHeight="15.75" x14ac:dyDescent="0.25"/>
  <cols>
    <col min="1" max="1" width="14" style="17" customWidth="1"/>
    <col min="2" max="2" width="32" style="17" customWidth="1"/>
    <col min="3" max="3" width="18.140625" style="95" customWidth="1"/>
    <col min="4" max="4" width="8.42578125" style="38" customWidth="1"/>
    <col min="5" max="7" width="16.42578125" style="17" customWidth="1"/>
    <col min="8" max="8" width="33" style="17" customWidth="1"/>
    <col min="9" max="9" width="7" style="38" customWidth="1"/>
    <col min="10" max="12" width="11.7109375" style="17" customWidth="1"/>
    <col min="13" max="22" width="0" style="17" hidden="1" customWidth="1"/>
    <col min="23" max="16384" width="9.140625" style="17"/>
  </cols>
  <sheetData>
    <row r="2" spans="1:12" ht="20.25" customHeight="1" x14ac:dyDescent="0.25">
      <c r="A2" s="212" t="s">
        <v>465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6.5" thickBot="1" x14ac:dyDescent="0.3">
      <c r="I3" s="96" t="s">
        <v>494</v>
      </c>
      <c r="J3" s="96"/>
    </row>
    <row r="4" spans="1:12" s="38" customFormat="1" x14ac:dyDescent="0.25">
      <c r="A4" s="209" t="s">
        <v>0</v>
      </c>
      <c r="B4" s="115" t="s">
        <v>464</v>
      </c>
      <c r="C4" s="115" t="s">
        <v>1</v>
      </c>
      <c r="D4" s="115" t="s">
        <v>2</v>
      </c>
      <c r="E4" s="115" t="s">
        <v>467</v>
      </c>
      <c r="F4" s="115" t="s">
        <v>468</v>
      </c>
      <c r="G4" s="115" t="s">
        <v>469</v>
      </c>
      <c r="H4" s="216" t="s">
        <v>470</v>
      </c>
      <c r="I4" s="217"/>
      <c r="J4" s="217"/>
      <c r="K4" s="217"/>
      <c r="L4" s="218"/>
    </row>
    <row r="5" spans="1:12" s="38" customFormat="1" ht="31.5" customHeight="1" x14ac:dyDescent="0.25">
      <c r="A5" s="210"/>
      <c r="B5" s="116"/>
      <c r="C5" s="116"/>
      <c r="D5" s="116"/>
      <c r="E5" s="116"/>
      <c r="F5" s="116"/>
      <c r="G5" s="116"/>
      <c r="H5" s="219" t="s">
        <v>464</v>
      </c>
      <c r="I5" s="219" t="s">
        <v>474</v>
      </c>
      <c r="J5" s="98" t="s">
        <v>3</v>
      </c>
      <c r="K5" s="99"/>
      <c r="L5" s="100"/>
    </row>
    <row r="6" spans="1:12" s="38" customFormat="1" ht="16.5" thickBot="1" x14ac:dyDescent="0.3">
      <c r="A6" s="211"/>
      <c r="B6" s="117"/>
      <c r="C6" s="117"/>
      <c r="D6" s="117"/>
      <c r="E6" s="117"/>
      <c r="F6" s="117"/>
      <c r="G6" s="117"/>
      <c r="H6" s="117"/>
      <c r="I6" s="117"/>
      <c r="J6" s="89" t="s">
        <v>489</v>
      </c>
      <c r="K6" s="89" t="s">
        <v>490</v>
      </c>
      <c r="L6" s="90" t="s">
        <v>491</v>
      </c>
    </row>
    <row r="7" spans="1:12" ht="47.25" customHeight="1" thickBot="1" x14ac:dyDescent="0.3">
      <c r="A7" s="93" t="s">
        <v>4</v>
      </c>
      <c r="B7" s="101" t="s">
        <v>5</v>
      </c>
      <c r="C7" s="102"/>
      <c r="D7" s="103"/>
      <c r="E7" s="92">
        <f>E8+E40+E151+E167</f>
        <v>130359049.28999999</v>
      </c>
      <c r="F7" s="92">
        <f>F8+F40+F151+F167</f>
        <v>168097869</v>
      </c>
      <c r="G7" s="92">
        <f>G8+G40+G151+G167</f>
        <v>103922591</v>
      </c>
      <c r="H7" s="104"/>
      <c r="I7" s="105"/>
      <c r="J7" s="105"/>
      <c r="K7" s="105"/>
      <c r="L7" s="106"/>
    </row>
    <row r="8" spans="1:12" ht="51" customHeight="1" thickBot="1" x14ac:dyDescent="0.3">
      <c r="A8" s="49" t="s">
        <v>6</v>
      </c>
      <c r="B8" s="20" t="s">
        <v>7</v>
      </c>
      <c r="C8" s="107"/>
      <c r="D8" s="113"/>
      <c r="E8" s="53">
        <f>E9+E20</f>
        <v>18078389</v>
      </c>
      <c r="F8" s="53">
        <f>F9+F20</f>
        <v>12820970</v>
      </c>
      <c r="G8" s="53">
        <f>G9+G20</f>
        <v>9078970</v>
      </c>
      <c r="H8" s="107"/>
      <c r="I8" s="108"/>
      <c r="J8" s="108"/>
      <c r="K8" s="108"/>
      <c r="L8" s="109"/>
    </row>
    <row r="9" spans="1:12" ht="52.5" customHeight="1" thickBot="1" x14ac:dyDescent="0.3">
      <c r="A9" s="50" t="s">
        <v>8</v>
      </c>
      <c r="B9" s="21" t="s">
        <v>9</v>
      </c>
      <c r="C9" s="110"/>
      <c r="D9" s="114"/>
      <c r="E9" s="54">
        <f>E10+E11+E14+E17</f>
        <v>10049000</v>
      </c>
      <c r="F9" s="54">
        <f>F10+F11+F14+F17</f>
        <v>4279000</v>
      </c>
      <c r="G9" s="54">
        <f>G10+G11+G14+G17</f>
        <v>578000</v>
      </c>
      <c r="H9" s="110"/>
      <c r="I9" s="111"/>
      <c r="J9" s="111"/>
      <c r="K9" s="111"/>
      <c r="L9" s="112"/>
    </row>
    <row r="10" spans="1:12" ht="81.75" customHeight="1" thickBot="1" x14ac:dyDescent="0.3">
      <c r="A10" s="30" t="s">
        <v>10</v>
      </c>
      <c r="B10" s="19" t="s">
        <v>11</v>
      </c>
      <c r="C10" s="19" t="s">
        <v>12</v>
      </c>
      <c r="D10" s="32" t="s">
        <v>13</v>
      </c>
      <c r="E10" s="48">
        <v>6000</v>
      </c>
      <c r="F10" s="48">
        <v>6000</v>
      </c>
      <c r="G10" s="48">
        <v>6000</v>
      </c>
      <c r="H10" s="4" t="s">
        <v>14</v>
      </c>
      <c r="I10" s="32" t="s">
        <v>471</v>
      </c>
      <c r="J10" s="32" t="s">
        <v>15</v>
      </c>
      <c r="K10" s="32" t="s">
        <v>15</v>
      </c>
      <c r="L10" s="35" t="s">
        <v>15</v>
      </c>
    </row>
    <row r="11" spans="1:12" ht="37.5" customHeight="1" x14ac:dyDescent="0.25">
      <c r="A11" s="131" t="s">
        <v>16</v>
      </c>
      <c r="B11" s="126" t="s">
        <v>17</v>
      </c>
      <c r="C11" s="126" t="s">
        <v>18</v>
      </c>
      <c r="D11" s="32" t="s">
        <v>463</v>
      </c>
      <c r="E11" s="25">
        <f>SUM(E12:E13)</f>
        <v>6000000</v>
      </c>
      <c r="F11" s="25">
        <f>SUM(F12:F13)</f>
        <v>730000</v>
      </c>
      <c r="G11" s="25">
        <f>SUM(G12:G13)</f>
        <v>142000</v>
      </c>
      <c r="H11" s="4" t="s">
        <v>19</v>
      </c>
      <c r="I11" s="32" t="s">
        <v>471</v>
      </c>
      <c r="J11" s="66">
        <v>10</v>
      </c>
      <c r="K11" s="66">
        <v>10</v>
      </c>
      <c r="L11" s="67">
        <v>11</v>
      </c>
    </row>
    <row r="12" spans="1:12" ht="31.5" x14ac:dyDescent="0.25">
      <c r="A12" s="132"/>
      <c r="B12" s="127"/>
      <c r="C12" s="127"/>
      <c r="D12" s="129" t="s">
        <v>23</v>
      </c>
      <c r="E12" s="118">
        <v>6000000</v>
      </c>
      <c r="F12" s="118">
        <v>730000</v>
      </c>
      <c r="G12" s="118">
        <v>142000</v>
      </c>
      <c r="H12" s="9" t="s">
        <v>21</v>
      </c>
      <c r="I12" s="28" t="s">
        <v>472</v>
      </c>
      <c r="J12" s="65"/>
      <c r="K12" s="69"/>
      <c r="L12" s="70">
        <v>26.28</v>
      </c>
    </row>
    <row r="13" spans="1:12" ht="32.25" thickBot="1" x14ac:dyDescent="0.3">
      <c r="A13" s="133"/>
      <c r="B13" s="128"/>
      <c r="C13" s="128"/>
      <c r="D13" s="130"/>
      <c r="E13" s="119"/>
      <c r="F13" s="119"/>
      <c r="G13" s="119"/>
      <c r="H13" s="9" t="s">
        <v>22</v>
      </c>
      <c r="I13" s="28" t="s">
        <v>472</v>
      </c>
      <c r="J13" s="65"/>
      <c r="K13" s="69"/>
      <c r="L13" s="70">
        <v>50.42</v>
      </c>
    </row>
    <row r="14" spans="1:12" ht="31.5" x14ac:dyDescent="0.25">
      <c r="A14" s="120" t="s">
        <v>24</v>
      </c>
      <c r="B14" s="123" t="s">
        <v>25</v>
      </c>
      <c r="C14" s="126" t="s">
        <v>18</v>
      </c>
      <c r="D14" s="32" t="s">
        <v>463</v>
      </c>
      <c r="E14" s="25">
        <f>SUM(E15:E16)</f>
        <v>3930000</v>
      </c>
      <c r="F14" s="23">
        <f>SUM(F15:F16)</f>
        <v>3543000</v>
      </c>
      <c r="G14" s="25">
        <f>SUM(G15:G16)</f>
        <v>430000</v>
      </c>
      <c r="H14" s="4" t="s">
        <v>26</v>
      </c>
      <c r="I14" s="32" t="s">
        <v>472</v>
      </c>
      <c r="J14" s="66"/>
      <c r="K14" s="71"/>
      <c r="L14" s="72">
        <v>0.28999999999999998</v>
      </c>
    </row>
    <row r="15" spans="1:12" ht="31.5" x14ac:dyDescent="0.25">
      <c r="A15" s="121"/>
      <c r="B15" s="124"/>
      <c r="C15" s="127"/>
      <c r="D15" s="129" t="s">
        <v>23</v>
      </c>
      <c r="E15" s="118">
        <v>3930000</v>
      </c>
      <c r="F15" s="118">
        <v>3543000</v>
      </c>
      <c r="G15" s="118">
        <v>430000</v>
      </c>
      <c r="H15" s="9" t="s">
        <v>27</v>
      </c>
      <c r="I15" s="28" t="s">
        <v>472</v>
      </c>
      <c r="J15" s="65"/>
      <c r="K15" s="69"/>
      <c r="L15" s="70">
        <v>24.14</v>
      </c>
    </row>
    <row r="16" spans="1:12" ht="32.25" thickBot="1" x14ac:dyDescent="0.3">
      <c r="A16" s="122"/>
      <c r="B16" s="125"/>
      <c r="C16" s="128"/>
      <c r="D16" s="130"/>
      <c r="E16" s="119"/>
      <c r="F16" s="119"/>
      <c r="G16" s="119"/>
      <c r="H16" s="27" t="s">
        <v>19</v>
      </c>
      <c r="I16" s="28" t="s">
        <v>471</v>
      </c>
      <c r="J16" s="65">
        <v>25</v>
      </c>
      <c r="K16" s="65">
        <v>5</v>
      </c>
      <c r="L16" s="68">
        <v>20</v>
      </c>
    </row>
    <row r="17" spans="1:12" ht="23.25" customHeight="1" x14ac:dyDescent="0.25">
      <c r="A17" s="131" t="s">
        <v>30</v>
      </c>
      <c r="B17" s="126" t="s">
        <v>31</v>
      </c>
      <c r="C17" s="126" t="s">
        <v>18</v>
      </c>
      <c r="D17" s="32" t="s">
        <v>463</v>
      </c>
      <c r="E17" s="24">
        <f>SUM(E18:E19)</f>
        <v>113000</v>
      </c>
      <c r="F17" s="139">
        <f>SUM(F18:F19)</f>
        <v>0</v>
      </c>
      <c r="G17" s="139">
        <f>SUM(G18:G19)</f>
        <v>0</v>
      </c>
      <c r="H17" s="126" t="s">
        <v>32</v>
      </c>
      <c r="I17" s="134" t="s">
        <v>473</v>
      </c>
      <c r="J17" s="134" t="s">
        <v>33</v>
      </c>
      <c r="K17" s="134"/>
      <c r="L17" s="136"/>
    </row>
    <row r="18" spans="1:12" x14ac:dyDescent="0.25">
      <c r="A18" s="132"/>
      <c r="B18" s="127"/>
      <c r="C18" s="127"/>
      <c r="D18" s="28" t="s">
        <v>35</v>
      </c>
      <c r="E18" s="10">
        <v>35000</v>
      </c>
      <c r="F18" s="140"/>
      <c r="G18" s="140"/>
      <c r="H18" s="127"/>
      <c r="I18" s="135"/>
      <c r="J18" s="135"/>
      <c r="K18" s="135"/>
      <c r="L18" s="137"/>
    </row>
    <row r="19" spans="1:12" ht="16.5" thickBot="1" x14ac:dyDescent="0.3">
      <c r="A19" s="133"/>
      <c r="B19" s="128"/>
      <c r="C19" s="128"/>
      <c r="D19" s="28" t="s">
        <v>36</v>
      </c>
      <c r="E19" s="10">
        <v>78000</v>
      </c>
      <c r="F19" s="141"/>
      <c r="G19" s="141"/>
      <c r="H19" s="128"/>
      <c r="I19" s="130"/>
      <c r="J19" s="130"/>
      <c r="K19" s="130"/>
      <c r="L19" s="138"/>
    </row>
    <row r="20" spans="1:12" ht="32.25" customHeight="1" thickBot="1" x14ac:dyDescent="0.3">
      <c r="A20" s="1" t="s">
        <v>37</v>
      </c>
      <c r="B20" s="142" t="s">
        <v>38</v>
      </c>
      <c r="C20" s="143"/>
      <c r="D20" s="144"/>
      <c r="E20" s="29">
        <f>E21+E22+E23+E24+E29+E30+E34+E35+D38</f>
        <v>8029389</v>
      </c>
      <c r="F20" s="29">
        <f>F21+F22+F23+F24+F29+F30+F34+F35+F38</f>
        <v>8541970</v>
      </c>
      <c r="G20" s="29">
        <f>G21+G22+G23+G24+G29+G30+G34+G35+G38</f>
        <v>8500970</v>
      </c>
      <c r="H20" s="110"/>
      <c r="I20" s="111"/>
      <c r="J20" s="111"/>
      <c r="K20" s="111"/>
      <c r="L20" s="112"/>
    </row>
    <row r="21" spans="1:12" ht="48" thickBot="1" x14ac:dyDescent="0.3">
      <c r="A21" s="30" t="s">
        <v>39</v>
      </c>
      <c r="B21" s="22" t="s">
        <v>40</v>
      </c>
      <c r="C21" s="19" t="s">
        <v>41</v>
      </c>
      <c r="D21" s="32" t="s">
        <v>36</v>
      </c>
      <c r="E21" s="31">
        <v>1292670</v>
      </c>
      <c r="F21" s="31">
        <v>1592670</v>
      </c>
      <c r="G21" s="31">
        <v>1592670</v>
      </c>
      <c r="H21" s="19" t="s">
        <v>42</v>
      </c>
      <c r="I21" s="32" t="s">
        <v>475</v>
      </c>
      <c r="J21" s="32" t="s">
        <v>43</v>
      </c>
      <c r="K21" s="66">
        <v>400</v>
      </c>
      <c r="L21" s="67">
        <v>380</v>
      </c>
    </row>
    <row r="22" spans="1:12" ht="32.25" thickBot="1" x14ac:dyDescent="0.3">
      <c r="A22" s="30" t="s">
        <v>44</v>
      </c>
      <c r="B22" s="22" t="s">
        <v>45</v>
      </c>
      <c r="C22" s="19" t="s">
        <v>41</v>
      </c>
      <c r="D22" s="32" t="s">
        <v>36</v>
      </c>
      <c r="E22" s="31">
        <v>199000</v>
      </c>
      <c r="F22" s="31">
        <v>199000</v>
      </c>
      <c r="G22" s="31">
        <v>199000</v>
      </c>
      <c r="H22" s="19" t="s">
        <v>46</v>
      </c>
      <c r="I22" s="32" t="s">
        <v>473</v>
      </c>
      <c r="J22" s="32" t="s">
        <v>47</v>
      </c>
      <c r="K22" s="32" t="s">
        <v>47</v>
      </c>
      <c r="L22" s="35" t="s">
        <v>48</v>
      </c>
    </row>
    <row r="23" spans="1:12" ht="84.75" customHeight="1" thickBot="1" x14ac:dyDescent="0.3">
      <c r="A23" s="30" t="s">
        <v>49</v>
      </c>
      <c r="B23" s="22" t="s">
        <v>50</v>
      </c>
      <c r="C23" s="19" t="s">
        <v>51</v>
      </c>
      <c r="D23" s="32" t="s">
        <v>36</v>
      </c>
      <c r="E23" s="31">
        <v>100000</v>
      </c>
      <c r="F23" s="31">
        <v>100000</v>
      </c>
      <c r="G23" s="31">
        <v>0</v>
      </c>
      <c r="H23" s="19" t="s">
        <v>52</v>
      </c>
      <c r="I23" s="32" t="s">
        <v>473</v>
      </c>
      <c r="J23" s="32" t="s">
        <v>53</v>
      </c>
      <c r="K23" s="32" t="s">
        <v>33</v>
      </c>
      <c r="L23" s="35" t="s">
        <v>33</v>
      </c>
    </row>
    <row r="24" spans="1:12" ht="78.75" x14ac:dyDescent="0.25">
      <c r="A24" s="131" t="s">
        <v>54</v>
      </c>
      <c r="B24" s="126" t="s">
        <v>55</v>
      </c>
      <c r="C24" s="126" t="s">
        <v>12</v>
      </c>
      <c r="D24" s="32" t="s">
        <v>463</v>
      </c>
      <c r="E24" s="25">
        <f>SUM(E25:E28)</f>
        <v>340719</v>
      </c>
      <c r="F24" s="25">
        <f>SUM(F25:F28)</f>
        <v>203300</v>
      </c>
      <c r="G24" s="25">
        <f>SUM(G25:G28)</f>
        <v>162300</v>
      </c>
      <c r="H24" s="4" t="s">
        <v>56</v>
      </c>
      <c r="I24" s="32" t="s">
        <v>473</v>
      </c>
      <c r="J24" s="32" t="s">
        <v>48</v>
      </c>
      <c r="K24" s="3"/>
      <c r="L24" s="26"/>
    </row>
    <row r="25" spans="1:12" ht="47.25" x14ac:dyDescent="0.25">
      <c r="A25" s="132"/>
      <c r="B25" s="127"/>
      <c r="C25" s="127"/>
      <c r="D25" s="129" t="s">
        <v>13</v>
      </c>
      <c r="E25" s="118">
        <v>340719</v>
      </c>
      <c r="F25" s="118">
        <v>203300</v>
      </c>
      <c r="G25" s="118">
        <v>162300</v>
      </c>
      <c r="H25" s="9" t="s">
        <v>57</v>
      </c>
      <c r="I25" s="28" t="s">
        <v>58</v>
      </c>
      <c r="J25" s="28" t="s">
        <v>59</v>
      </c>
      <c r="K25" s="28" t="s">
        <v>60</v>
      </c>
      <c r="L25" s="42" t="s">
        <v>60</v>
      </c>
    </row>
    <row r="26" spans="1:12" ht="31.5" x14ac:dyDescent="0.25">
      <c r="A26" s="132"/>
      <c r="B26" s="127"/>
      <c r="C26" s="127"/>
      <c r="D26" s="135"/>
      <c r="E26" s="145"/>
      <c r="F26" s="145"/>
      <c r="G26" s="145"/>
      <c r="H26" s="9" t="s">
        <v>61</v>
      </c>
      <c r="I26" s="28" t="s">
        <v>473</v>
      </c>
      <c r="J26" s="28" t="s">
        <v>48</v>
      </c>
      <c r="K26" s="28"/>
      <c r="L26" s="42"/>
    </row>
    <row r="27" spans="1:12" ht="47.25" x14ac:dyDescent="0.25">
      <c r="A27" s="132"/>
      <c r="B27" s="127"/>
      <c r="C27" s="127"/>
      <c r="D27" s="135"/>
      <c r="E27" s="145"/>
      <c r="F27" s="145"/>
      <c r="G27" s="145"/>
      <c r="H27" s="9" t="s">
        <v>62</v>
      </c>
      <c r="I27" s="28" t="s">
        <v>58</v>
      </c>
      <c r="J27" s="43">
        <v>2500000</v>
      </c>
      <c r="K27" s="43">
        <v>2000000</v>
      </c>
      <c r="L27" s="44">
        <v>1700000</v>
      </c>
    </row>
    <row r="28" spans="1:12" ht="45" customHeight="1" thickBot="1" x14ac:dyDescent="0.3">
      <c r="A28" s="133"/>
      <c r="B28" s="128"/>
      <c r="C28" s="128"/>
      <c r="D28" s="130"/>
      <c r="E28" s="119"/>
      <c r="F28" s="119"/>
      <c r="G28" s="119"/>
      <c r="H28" s="9" t="s">
        <v>63</v>
      </c>
      <c r="I28" s="28" t="s">
        <v>471</v>
      </c>
      <c r="J28" s="28" t="s">
        <v>64</v>
      </c>
      <c r="K28" s="28"/>
      <c r="L28" s="42"/>
    </row>
    <row r="29" spans="1:12" ht="8.25" hidden="1" customHeight="1" thickBot="1" x14ac:dyDescent="0.3">
      <c r="A29" s="2"/>
      <c r="B29" s="3"/>
      <c r="C29" s="19"/>
      <c r="D29" s="32"/>
      <c r="E29" s="56"/>
      <c r="F29" s="56"/>
      <c r="G29" s="56"/>
      <c r="H29" s="19"/>
      <c r="I29" s="32"/>
      <c r="J29" s="46"/>
      <c r="K29" s="46"/>
      <c r="L29" s="47"/>
    </row>
    <row r="30" spans="1:12" ht="47.25" customHeight="1" x14ac:dyDescent="0.25">
      <c r="A30" s="131" t="s">
        <v>67</v>
      </c>
      <c r="B30" s="126" t="s">
        <v>68</v>
      </c>
      <c r="C30" s="126" t="s">
        <v>41</v>
      </c>
      <c r="D30" s="134" t="s">
        <v>36</v>
      </c>
      <c r="E30" s="146">
        <f>SUM(E31:E33)+4450000</f>
        <v>4450000</v>
      </c>
      <c r="F30" s="146">
        <f>SUM(F31:F33)+4800000</f>
        <v>4800000</v>
      </c>
      <c r="G30" s="146">
        <f>SUM(G31:G33)+4900000</f>
        <v>4900000</v>
      </c>
      <c r="H30" s="19" t="s">
        <v>69</v>
      </c>
      <c r="I30" s="32" t="s">
        <v>473</v>
      </c>
      <c r="J30" s="32" t="s">
        <v>70</v>
      </c>
      <c r="K30" s="32" t="s">
        <v>71</v>
      </c>
      <c r="L30" s="35" t="s">
        <v>71</v>
      </c>
    </row>
    <row r="31" spans="1:12" ht="31.5" x14ac:dyDescent="0.25">
      <c r="A31" s="132"/>
      <c r="B31" s="127"/>
      <c r="C31" s="127"/>
      <c r="D31" s="135"/>
      <c r="E31" s="147"/>
      <c r="F31" s="147"/>
      <c r="G31" s="147"/>
      <c r="H31" s="27" t="s">
        <v>72</v>
      </c>
      <c r="I31" s="28" t="s">
        <v>471</v>
      </c>
      <c r="J31" s="28" t="s">
        <v>73</v>
      </c>
      <c r="K31" s="28" t="s">
        <v>74</v>
      </c>
      <c r="L31" s="42" t="s">
        <v>75</v>
      </c>
    </row>
    <row r="32" spans="1:12" ht="31.5" x14ac:dyDescent="0.25">
      <c r="A32" s="132"/>
      <c r="B32" s="127"/>
      <c r="C32" s="127"/>
      <c r="D32" s="135"/>
      <c r="E32" s="147"/>
      <c r="F32" s="147"/>
      <c r="G32" s="147"/>
      <c r="H32" s="27" t="s">
        <v>76</v>
      </c>
      <c r="I32" s="28" t="s">
        <v>471</v>
      </c>
      <c r="J32" s="28" t="s">
        <v>77</v>
      </c>
      <c r="K32" s="28" t="s">
        <v>78</v>
      </c>
      <c r="L32" s="42" t="s">
        <v>79</v>
      </c>
    </row>
    <row r="33" spans="1:12" ht="16.5" thickBot="1" x14ac:dyDescent="0.3">
      <c r="A33" s="133"/>
      <c r="B33" s="128"/>
      <c r="C33" s="128"/>
      <c r="D33" s="130"/>
      <c r="E33" s="148"/>
      <c r="F33" s="148"/>
      <c r="G33" s="148"/>
      <c r="H33" s="27" t="s">
        <v>65</v>
      </c>
      <c r="I33" s="28" t="s">
        <v>473</v>
      </c>
      <c r="J33" s="28" t="s">
        <v>66</v>
      </c>
      <c r="K33" s="28" t="s">
        <v>66</v>
      </c>
      <c r="L33" s="42" t="s">
        <v>66</v>
      </c>
    </row>
    <row r="34" spans="1:12" ht="32.25" thickBot="1" x14ac:dyDescent="0.3">
      <c r="A34" s="2" t="s">
        <v>80</v>
      </c>
      <c r="B34" s="3" t="s">
        <v>81</v>
      </c>
      <c r="C34" s="19" t="s">
        <v>41</v>
      </c>
      <c r="D34" s="32" t="s">
        <v>36</v>
      </c>
      <c r="E34" s="48">
        <v>9000</v>
      </c>
      <c r="F34" s="48">
        <v>9000</v>
      </c>
      <c r="G34" s="48">
        <v>9000</v>
      </c>
      <c r="H34" s="4" t="s">
        <v>82</v>
      </c>
      <c r="I34" s="32" t="s">
        <v>473</v>
      </c>
      <c r="J34" s="32" t="s">
        <v>83</v>
      </c>
      <c r="K34" s="32" t="s">
        <v>83</v>
      </c>
      <c r="L34" s="35" t="s">
        <v>83</v>
      </c>
    </row>
    <row r="35" spans="1:12" ht="35.25" customHeight="1" x14ac:dyDescent="0.25">
      <c r="A35" s="149" t="s">
        <v>84</v>
      </c>
      <c r="B35" s="126" t="s">
        <v>85</v>
      </c>
      <c r="C35" s="126" t="s">
        <v>12</v>
      </c>
      <c r="D35" s="134" t="s">
        <v>13</v>
      </c>
      <c r="E35" s="146">
        <f>SUM(E36:E37)+1638000</f>
        <v>1638000</v>
      </c>
      <c r="F35" s="146">
        <f>SUM(F36:F37)+1638000</f>
        <v>1638000</v>
      </c>
      <c r="G35" s="146">
        <f>SUM(G36:G37)+1638000</f>
        <v>1638000</v>
      </c>
      <c r="H35" s="4" t="s">
        <v>86</v>
      </c>
      <c r="I35" s="32" t="s">
        <v>476</v>
      </c>
      <c r="J35" s="32" t="s">
        <v>87</v>
      </c>
      <c r="K35" s="32" t="s">
        <v>88</v>
      </c>
      <c r="L35" s="35" t="s">
        <v>88</v>
      </c>
    </row>
    <row r="36" spans="1:12" ht="31.5" x14ac:dyDescent="0.25">
      <c r="A36" s="151"/>
      <c r="B36" s="127"/>
      <c r="C36" s="127"/>
      <c r="D36" s="135"/>
      <c r="E36" s="147"/>
      <c r="F36" s="147"/>
      <c r="G36" s="147"/>
      <c r="H36" s="9" t="s">
        <v>89</v>
      </c>
      <c r="I36" s="28" t="s">
        <v>471</v>
      </c>
      <c r="J36" s="28" t="s">
        <v>78</v>
      </c>
      <c r="K36" s="28" t="s">
        <v>78</v>
      </c>
      <c r="L36" s="42" t="s">
        <v>78</v>
      </c>
    </row>
    <row r="37" spans="1:12" ht="32.25" thickBot="1" x14ac:dyDescent="0.3">
      <c r="A37" s="150"/>
      <c r="B37" s="128"/>
      <c r="C37" s="128"/>
      <c r="D37" s="130"/>
      <c r="E37" s="148"/>
      <c r="F37" s="148"/>
      <c r="G37" s="148"/>
      <c r="H37" s="9" t="s">
        <v>90</v>
      </c>
      <c r="I37" s="28" t="s">
        <v>58</v>
      </c>
      <c r="J37" s="28" t="s">
        <v>91</v>
      </c>
      <c r="K37" s="28" t="s">
        <v>92</v>
      </c>
      <c r="L37" s="42" t="s">
        <v>92</v>
      </c>
    </row>
    <row r="38" spans="1:12" ht="23.25" customHeight="1" x14ac:dyDescent="0.25">
      <c r="A38" s="149" t="s">
        <v>93</v>
      </c>
      <c r="B38" s="126" t="s">
        <v>94</v>
      </c>
      <c r="C38" s="126" t="s">
        <v>12</v>
      </c>
      <c r="D38" s="154">
        <f>SUM(E39:E39)</f>
        <v>0</v>
      </c>
      <c r="E38" s="155"/>
      <c r="F38" s="155"/>
      <c r="G38" s="156"/>
      <c r="H38" s="4" t="s">
        <v>95</v>
      </c>
      <c r="I38" s="32" t="s">
        <v>471</v>
      </c>
      <c r="J38" s="32" t="s">
        <v>96</v>
      </c>
      <c r="K38" s="32" t="s">
        <v>96</v>
      </c>
      <c r="L38" s="35" t="s">
        <v>96</v>
      </c>
    </row>
    <row r="39" spans="1:12" ht="32.25" thickBot="1" x14ac:dyDescent="0.3">
      <c r="A39" s="150"/>
      <c r="B39" s="128"/>
      <c r="C39" s="128"/>
      <c r="D39" s="157"/>
      <c r="E39" s="158"/>
      <c r="F39" s="158"/>
      <c r="G39" s="159"/>
      <c r="H39" s="9" t="s">
        <v>97</v>
      </c>
      <c r="I39" s="28" t="s">
        <v>473</v>
      </c>
      <c r="J39" s="28" t="s">
        <v>64</v>
      </c>
      <c r="K39" s="28" t="s">
        <v>64</v>
      </c>
      <c r="L39" s="42" t="s">
        <v>64</v>
      </c>
    </row>
    <row r="40" spans="1:12" ht="32.25" customHeight="1" thickBot="1" x14ac:dyDescent="0.3">
      <c r="A40" s="51" t="s">
        <v>98</v>
      </c>
      <c r="B40" s="163" t="s">
        <v>99</v>
      </c>
      <c r="C40" s="164"/>
      <c r="D40" s="165"/>
      <c r="E40" s="53">
        <f>E41+E132</f>
        <v>79698939</v>
      </c>
      <c r="F40" s="53">
        <f>F41+F132</f>
        <v>114701741</v>
      </c>
      <c r="G40" s="53">
        <f>G41+G132</f>
        <v>72960221</v>
      </c>
      <c r="H40" s="107"/>
      <c r="I40" s="108"/>
      <c r="J40" s="108"/>
      <c r="K40" s="108"/>
      <c r="L40" s="109"/>
    </row>
    <row r="41" spans="1:12" ht="32.25" customHeight="1" thickBot="1" x14ac:dyDescent="0.3">
      <c r="A41" s="52" t="s">
        <v>100</v>
      </c>
      <c r="B41" s="142" t="s">
        <v>101</v>
      </c>
      <c r="C41" s="143"/>
      <c r="D41" s="144"/>
      <c r="E41" s="54">
        <f>E42+E44+E45+E46+E47+E51+E55+E58+E61+E65+E68+E71+E73+E76+E77+E80+E81+E82+E83+E84+E87+E90+E93+E94+E96+E99+E100+E101+E102+E103+E106+E107+E110+E113+E114+E116+E118+E119+E122+E125+E126+E130+E131</f>
        <v>50784935</v>
      </c>
      <c r="F41" s="54">
        <f>F42+F44+F45+F46+F47+F51+F55+F58+F61+F65+F68+F71+F73+F76+F77+F80+F81+F82+F83+F84+F87+F90+F93+F94+F96+F99+F100+F101+F102+F103+F106+F107+F110+F113+F114+F116+F118+F119+F122+F125+F126+F130+F131</f>
        <v>93371741</v>
      </c>
      <c r="G41" s="54">
        <f>G42+G44+G45+G46+G47+G51+G55+G58+G61+G65+G68+G71+G73+G76+G77+G80+G81+G82+G83+G84+G87+G90+G93+G94+G96+G99+G100+G101+G102+G103+G106+G107+G110+G113+G114+G116+G118+G119+G122+G125+G126+G130+G131</f>
        <v>56410221</v>
      </c>
      <c r="H41" s="110"/>
      <c r="I41" s="111"/>
      <c r="J41" s="111"/>
      <c r="K41" s="111"/>
      <c r="L41" s="112"/>
    </row>
    <row r="42" spans="1:12" ht="62.25" customHeight="1" x14ac:dyDescent="0.25">
      <c r="A42" s="120" t="s">
        <v>102</v>
      </c>
      <c r="B42" s="123" t="s">
        <v>103</v>
      </c>
      <c r="C42" s="126" t="s">
        <v>111</v>
      </c>
      <c r="D42" s="134" t="s">
        <v>36</v>
      </c>
      <c r="E42" s="146">
        <f>SUM(E43:E43)+400000</f>
        <v>400000</v>
      </c>
      <c r="F42" s="146">
        <f>SUM(F43:F43)+100000</f>
        <v>100000</v>
      </c>
      <c r="G42" s="146">
        <f>SUM(G43:G43)+100000</f>
        <v>100000</v>
      </c>
      <c r="H42" s="19" t="s">
        <v>104</v>
      </c>
      <c r="I42" s="32" t="s">
        <v>471</v>
      </c>
      <c r="J42" s="32" t="s">
        <v>15</v>
      </c>
      <c r="K42" s="32" t="s">
        <v>105</v>
      </c>
      <c r="L42" s="35" t="s">
        <v>33</v>
      </c>
    </row>
    <row r="43" spans="1:12" ht="21" customHeight="1" thickBot="1" x14ac:dyDescent="0.3">
      <c r="A43" s="122"/>
      <c r="B43" s="125"/>
      <c r="C43" s="128"/>
      <c r="D43" s="130"/>
      <c r="E43" s="148"/>
      <c r="F43" s="148"/>
      <c r="G43" s="148"/>
      <c r="H43" s="27" t="s">
        <v>65</v>
      </c>
      <c r="I43" s="28" t="s">
        <v>473</v>
      </c>
      <c r="J43" s="28" t="s">
        <v>106</v>
      </c>
      <c r="K43" s="73">
        <v>50</v>
      </c>
      <c r="L43" s="74">
        <v>50</v>
      </c>
    </row>
    <row r="44" spans="1:12" ht="48" thickBot="1" x14ac:dyDescent="0.3">
      <c r="A44" s="30" t="s">
        <v>107</v>
      </c>
      <c r="B44" s="55" t="s">
        <v>488</v>
      </c>
      <c r="C44" s="19" t="s">
        <v>108</v>
      </c>
      <c r="D44" s="32" t="s">
        <v>34</v>
      </c>
      <c r="E44" s="48">
        <v>220044</v>
      </c>
      <c r="F44" s="48">
        <v>0</v>
      </c>
      <c r="G44" s="48">
        <v>0</v>
      </c>
      <c r="H44" s="22" t="s">
        <v>19</v>
      </c>
      <c r="I44" s="32" t="s">
        <v>471</v>
      </c>
      <c r="J44" s="32" t="s">
        <v>83</v>
      </c>
      <c r="K44" s="57"/>
      <c r="L44" s="58"/>
    </row>
    <row r="45" spans="1:12" ht="48" thickBot="1" x14ac:dyDescent="0.3">
      <c r="A45" s="30" t="s">
        <v>109</v>
      </c>
      <c r="B45" s="22" t="s">
        <v>110</v>
      </c>
      <c r="C45" s="19" t="s">
        <v>111</v>
      </c>
      <c r="D45" s="32" t="s">
        <v>36</v>
      </c>
      <c r="E45" s="48">
        <v>1400000</v>
      </c>
      <c r="F45" s="48">
        <v>2750000</v>
      </c>
      <c r="G45" s="48">
        <v>2750000</v>
      </c>
      <c r="H45" s="22" t="s">
        <v>112</v>
      </c>
      <c r="I45" s="32" t="s">
        <v>473</v>
      </c>
      <c r="J45" s="32" t="s">
        <v>113</v>
      </c>
      <c r="K45" s="32" t="s">
        <v>114</v>
      </c>
      <c r="L45" s="35" t="s">
        <v>115</v>
      </c>
    </row>
    <row r="46" spans="1:12" ht="79.5" thickBot="1" x14ac:dyDescent="0.3">
      <c r="A46" s="30" t="s">
        <v>116</v>
      </c>
      <c r="B46" s="55" t="s">
        <v>117</v>
      </c>
      <c r="C46" s="19" t="s">
        <v>111</v>
      </c>
      <c r="D46" s="32" t="s">
        <v>36</v>
      </c>
      <c r="E46" s="48">
        <v>400000</v>
      </c>
      <c r="F46" s="48">
        <v>1000000</v>
      </c>
      <c r="G46" s="48">
        <v>1000000</v>
      </c>
      <c r="H46" s="22" t="s">
        <v>118</v>
      </c>
      <c r="I46" s="32" t="s">
        <v>472</v>
      </c>
      <c r="J46" s="32" t="s">
        <v>119</v>
      </c>
      <c r="K46" s="32" t="s">
        <v>120</v>
      </c>
      <c r="L46" s="35" t="s">
        <v>47</v>
      </c>
    </row>
    <row r="47" spans="1:12" ht="27" customHeight="1" x14ac:dyDescent="0.25">
      <c r="A47" s="131" t="s">
        <v>121</v>
      </c>
      <c r="B47" s="160" t="s">
        <v>122</v>
      </c>
      <c r="C47" s="126" t="s">
        <v>18</v>
      </c>
      <c r="D47" s="32" t="s">
        <v>463</v>
      </c>
      <c r="E47" s="25">
        <f>SUM(E48:E50)</f>
        <v>433000</v>
      </c>
      <c r="F47" s="25">
        <f>SUM(F48:F50)</f>
        <v>1212490</v>
      </c>
      <c r="G47" s="139">
        <f>SUM(G48:G50)</f>
        <v>0</v>
      </c>
      <c r="H47" s="22" t="s">
        <v>123</v>
      </c>
      <c r="I47" s="32" t="s">
        <v>472</v>
      </c>
      <c r="J47" s="32"/>
      <c r="K47" s="32" t="s">
        <v>124</v>
      </c>
      <c r="L47" s="7"/>
    </row>
    <row r="48" spans="1:12" ht="22.5" customHeight="1" x14ac:dyDescent="0.25">
      <c r="A48" s="132"/>
      <c r="B48" s="161"/>
      <c r="C48" s="127"/>
      <c r="D48" s="28" t="s">
        <v>36</v>
      </c>
      <c r="E48" s="37">
        <v>26800</v>
      </c>
      <c r="F48" s="37">
        <v>0</v>
      </c>
      <c r="G48" s="140"/>
      <c r="H48" s="166" t="s">
        <v>19</v>
      </c>
      <c r="I48" s="129" t="s">
        <v>471</v>
      </c>
      <c r="J48" s="129" t="s">
        <v>83</v>
      </c>
      <c r="K48" s="129" t="s">
        <v>74</v>
      </c>
      <c r="L48" s="152"/>
    </row>
    <row r="49" spans="1:12" x14ac:dyDescent="0.25">
      <c r="A49" s="132"/>
      <c r="B49" s="161"/>
      <c r="C49" s="127"/>
      <c r="D49" s="28" t="s">
        <v>34</v>
      </c>
      <c r="E49" s="37">
        <v>406200</v>
      </c>
      <c r="F49" s="37">
        <v>852490</v>
      </c>
      <c r="G49" s="140"/>
      <c r="H49" s="124"/>
      <c r="I49" s="135"/>
      <c r="J49" s="135"/>
      <c r="K49" s="135"/>
      <c r="L49" s="137"/>
    </row>
    <row r="50" spans="1:12" ht="16.5" thickBot="1" x14ac:dyDescent="0.3">
      <c r="A50" s="133"/>
      <c r="B50" s="162"/>
      <c r="C50" s="128"/>
      <c r="D50" s="28" t="s">
        <v>23</v>
      </c>
      <c r="E50" s="37">
        <v>0</v>
      </c>
      <c r="F50" s="37">
        <v>360000</v>
      </c>
      <c r="G50" s="141"/>
      <c r="H50" s="125"/>
      <c r="I50" s="130"/>
      <c r="J50" s="130"/>
      <c r="K50" s="130"/>
      <c r="L50" s="138"/>
    </row>
    <row r="51" spans="1:12" ht="31.5" customHeight="1" x14ac:dyDescent="0.25">
      <c r="A51" s="149" t="s">
        <v>125</v>
      </c>
      <c r="B51" s="126" t="s">
        <v>126</v>
      </c>
      <c r="C51" s="126" t="s">
        <v>18</v>
      </c>
      <c r="D51" s="32" t="s">
        <v>463</v>
      </c>
      <c r="E51" s="25">
        <f>SUM(E52:E54)</f>
        <v>532600</v>
      </c>
      <c r="F51" s="25">
        <f>SUM(F52:F54)</f>
        <v>761480</v>
      </c>
      <c r="G51" s="139">
        <f>SUM(G52:G54)</f>
        <v>0</v>
      </c>
      <c r="H51" s="19" t="s">
        <v>127</v>
      </c>
      <c r="I51" s="32" t="s">
        <v>472</v>
      </c>
      <c r="J51" s="32"/>
      <c r="K51" s="32" t="s">
        <v>128</v>
      </c>
      <c r="L51" s="35"/>
    </row>
    <row r="52" spans="1:12" ht="31.5" customHeight="1" x14ac:dyDescent="0.25">
      <c r="A52" s="151"/>
      <c r="B52" s="127"/>
      <c r="C52" s="127"/>
      <c r="D52" s="28" t="s">
        <v>23</v>
      </c>
      <c r="E52" s="37">
        <v>0</v>
      </c>
      <c r="F52" s="37">
        <v>252000</v>
      </c>
      <c r="G52" s="140"/>
      <c r="H52" s="153" t="s">
        <v>19</v>
      </c>
      <c r="I52" s="129" t="s">
        <v>471</v>
      </c>
      <c r="J52" s="129" t="s">
        <v>129</v>
      </c>
      <c r="K52" s="129" t="s">
        <v>130</v>
      </c>
      <c r="L52" s="167"/>
    </row>
    <row r="53" spans="1:12" x14ac:dyDescent="0.25">
      <c r="A53" s="151"/>
      <c r="B53" s="127"/>
      <c r="C53" s="127"/>
      <c r="D53" s="28" t="s">
        <v>36</v>
      </c>
      <c r="E53" s="37">
        <v>25600</v>
      </c>
      <c r="F53" s="37">
        <v>0</v>
      </c>
      <c r="G53" s="140"/>
      <c r="H53" s="127"/>
      <c r="I53" s="135"/>
      <c r="J53" s="135"/>
      <c r="K53" s="135"/>
      <c r="L53" s="168"/>
    </row>
    <row r="54" spans="1:12" ht="16.5" thickBot="1" x14ac:dyDescent="0.3">
      <c r="A54" s="150"/>
      <c r="B54" s="128"/>
      <c r="C54" s="128"/>
      <c r="D54" s="28" t="s">
        <v>34</v>
      </c>
      <c r="E54" s="37">
        <v>507000</v>
      </c>
      <c r="F54" s="37">
        <v>509480</v>
      </c>
      <c r="G54" s="141"/>
      <c r="H54" s="128"/>
      <c r="I54" s="130"/>
      <c r="J54" s="130"/>
      <c r="K54" s="130"/>
      <c r="L54" s="169"/>
    </row>
    <row r="55" spans="1:12" ht="35.25" customHeight="1" x14ac:dyDescent="0.25">
      <c r="A55" s="149" t="s">
        <v>131</v>
      </c>
      <c r="B55" s="126" t="s">
        <v>132</v>
      </c>
      <c r="C55" s="126" t="s">
        <v>108</v>
      </c>
      <c r="D55" s="32" t="s">
        <v>463</v>
      </c>
      <c r="E55" s="25">
        <f>SUM(E56:E57)</f>
        <v>882800</v>
      </c>
      <c r="F55" s="139">
        <f>SUM(F56:F57)</f>
        <v>0</v>
      </c>
      <c r="G55" s="139">
        <f>SUM(G56:G57)</f>
        <v>0</v>
      </c>
      <c r="H55" s="126" t="s">
        <v>19</v>
      </c>
      <c r="I55" s="134" t="s">
        <v>471</v>
      </c>
      <c r="J55" s="134" t="s">
        <v>83</v>
      </c>
      <c r="K55" s="134" t="s">
        <v>96</v>
      </c>
      <c r="L55" s="136"/>
    </row>
    <row r="56" spans="1:12" x14ac:dyDescent="0.25">
      <c r="A56" s="151"/>
      <c r="B56" s="127"/>
      <c r="C56" s="127"/>
      <c r="D56" s="28" t="s">
        <v>34</v>
      </c>
      <c r="E56" s="37">
        <v>200000</v>
      </c>
      <c r="F56" s="140"/>
      <c r="G56" s="140"/>
      <c r="H56" s="127"/>
      <c r="I56" s="135"/>
      <c r="J56" s="135"/>
      <c r="K56" s="135"/>
      <c r="L56" s="137"/>
    </row>
    <row r="57" spans="1:12" ht="16.5" thickBot="1" x14ac:dyDescent="0.3">
      <c r="A57" s="151"/>
      <c r="B57" s="127"/>
      <c r="C57" s="127"/>
      <c r="D57" s="28" t="s">
        <v>133</v>
      </c>
      <c r="E57" s="37">
        <v>682800</v>
      </c>
      <c r="F57" s="140"/>
      <c r="G57" s="140"/>
      <c r="H57" s="127"/>
      <c r="I57" s="135"/>
      <c r="J57" s="135"/>
      <c r="K57" s="135"/>
      <c r="L57" s="137"/>
    </row>
    <row r="58" spans="1:12" ht="31.5" x14ac:dyDescent="0.25">
      <c r="A58" s="149" t="s">
        <v>134</v>
      </c>
      <c r="B58" s="126" t="s">
        <v>135</v>
      </c>
      <c r="C58" s="126" t="s">
        <v>18</v>
      </c>
      <c r="D58" s="32" t="s">
        <v>463</v>
      </c>
      <c r="E58" s="25">
        <f>SUM(E59:E60)</f>
        <v>180721</v>
      </c>
      <c r="F58" s="139">
        <f>SUM(F59:F60)</f>
        <v>0</v>
      </c>
      <c r="G58" s="139">
        <f>SUM(G59:G60)</f>
        <v>0</v>
      </c>
      <c r="H58" s="4" t="s">
        <v>19</v>
      </c>
      <c r="I58" s="32" t="s">
        <v>471</v>
      </c>
      <c r="J58" s="32" t="s">
        <v>33</v>
      </c>
      <c r="K58" s="170"/>
      <c r="L58" s="136"/>
    </row>
    <row r="59" spans="1:12" ht="23.25" customHeight="1" x14ac:dyDescent="0.25">
      <c r="A59" s="151"/>
      <c r="B59" s="127"/>
      <c r="C59" s="127"/>
      <c r="D59" s="28" t="s">
        <v>23</v>
      </c>
      <c r="E59" s="37">
        <v>139071</v>
      </c>
      <c r="F59" s="140"/>
      <c r="G59" s="140"/>
      <c r="H59" s="153" t="s">
        <v>136</v>
      </c>
      <c r="I59" s="129" t="s">
        <v>473</v>
      </c>
      <c r="J59" s="129" t="s">
        <v>137</v>
      </c>
      <c r="K59" s="171"/>
      <c r="L59" s="137"/>
    </row>
    <row r="60" spans="1:12" ht="16.5" thickBot="1" x14ac:dyDescent="0.3">
      <c r="A60" s="150"/>
      <c r="B60" s="128"/>
      <c r="C60" s="128"/>
      <c r="D60" s="28" t="s">
        <v>36</v>
      </c>
      <c r="E60" s="37">
        <v>41650</v>
      </c>
      <c r="F60" s="141"/>
      <c r="G60" s="141"/>
      <c r="H60" s="128"/>
      <c r="I60" s="130"/>
      <c r="J60" s="130"/>
      <c r="K60" s="172"/>
      <c r="L60" s="138"/>
    </row>
    <row r="61" spans="1:12" ht="34.5" customHeight="1" x14ac:dyDescent="0.25">
      <c r="A61" s="149" t="s">
        <v>138</v>
      </c>
      <c r="B61" s="126" t="s">
        <v>139</v>
      </c>
      <c r="C61" s="126" t="s">
        <v>18</v>
      </c>
      <c r="D61" s="32" t="s">
        <v>463</v>
      </c>
      <c r="E61" s="8">
        <f>SUM(E62:E64)</f>
        <v>115698</v>
      </c>
      <c r="F61" s="8">
        <f>SUM(F62:F64)</f>
        <v>0</v>
      </c>
      <c r="G61" s="8">
        <f>SUM(G62:G64)</f>
        <v>0</v>
      </c>
      <c r="H61" s="4" t="s">
        <v>19</v>
      </c>
      <c r="I61" s="32" t="s">
        <v>471</v>
      </c>
      <c r="J61" s="32" t="s">
        <v>28</v>
      </c>
      <c r="K61" s="32" t="s">
        <v>140</v>
      </c>
      <c r="L61" s="7"/>
    </row>
    <row r="62" spans="1:12" ht="31.5" customHeight="1" x14ac:dyDescent="0.25">
      <c r="A62" s="151"/>
      <c r="B62" s="127"/>
      <c r="C62" s="127"/>
      <c r="D62" s="28" t="s">
        <v>34</v>
      </c>
      <c r="E62" s="10">
        <v>80000</v>
      </c>
      <c r="F62" s="173">
        <v>0</v>
      </c>
      <c r="G62" s="173">
        <v>0</v>
      </c>
      <c r="H62" s="153" t="s">
        <v>141</v>
      </c>
      <c r="I62" s="129" t="s">
        <v>473</v>
      </c>
      <c r="J62" s="129" t="s">
        <v>48</v>
      </c>
      <c r="K62" s="129"/>
      <c r="L62" s="152"/>
    </row>
    <row r="63" spans="1:12" x14ac:dyDescent="0.25">
      <c r="A63" s="151"/>
      <c r="B63" s="127"/>
      <c r="C63" s="127"/>
      <c r="D63" s="28" t="s">
        <v>23</v>
      </c>
      <c r="E63" s="10">
        <v>35698</v>
      </c>
      <c r="F63" s="174"/>
      <c r="G63" s="174"/>
      <c r="H63" s="127"/>
      <c r="I63" s="135"/>
      <c r="J63" s="135"/>
      <c r="K63" s="135"/>
      <c r="L63" s="137"/>
    </row>
    <row r="64" spans="1:12" ht="16.5" thickBot="1" x14ac:dyDescent="0.3">
      <c r="A64" s="150"/>
      <c r="B64" s="128"/>
      <c r="C64" s="128"/>
      <c r="D64" s="28" t="s">
        <v>36</v>
      </c>
      <c r="E64" s="10">
        <v>0</v>
      </c>
      <c r="F64" s="175"/>
      <c r="G64" s="175"/>
      <c r="H64" s="128"/>
      <c r="I64" s="130"/>
      <c r="J64" s="130"/>
      <c r="K64" s="130"/>
      <c r="L64" s="138"/>
    </row>
    <row r="65" spans="1:12" ht="36.75" customHeight="1" x14ac:dyDescent="0.25">
      <c r="A65" s="149" t="s">
        <v>142</v>
      </c>
      <c r="B65" s="126" t="s">
        <v>143</v>
      </c>
      <c r="C65" s="126" t="s">
        <v>18</v>
      </c>
      <c r="D65" s="32" t="s">
        <v>463</v>
      </c>
      <c r="E65" s="25">
        <f>SUM(E66:E67)</f>
        <v>475760</v>
      </c>
      <c r="F65" s="139">
        <f>SUM(F66:F67)</f>
        <v>0</v>
      </c>
      <c r="G65" s="139">
        <f>SUM(G66:G67)</f>
        <v>0</v>
      </c>
      <c r="H65" s="22" t="s">
        <v>19</v>
      </c>
      <c r="I65" s="32" t="s">
        <v>471</v>
      </c>
      <c r="J65" s="32" t="s">
        <v>144</v>
      </c>
      <c r="K65" s="32" t="s">
        <v>130</v>
      </c>
      <c r="L65" s="7"/>
    </row>
    <row r="66" spans="1:12" ht="20.25" customHeight="1" x14ac:dyDescent="0.25">
      <c r="A66" s="151"/>
      <c r="B66" s="127"/>
      <c r="C66" s="127"/>
      <c r="D66" s="28" t="s">
        <v>34</v>
      </c>
      <c r="E66" s="37">
        <v>182000</v>
      </c>
      <c r="F66" s="140"/>
      <c r="G66" s="140"/>
      <c r="H66" s="166" t="s">
        <v>145</v>
      </c>
      <c r="I66" s="129" t="s">
        <v>473</v>
      </c>
      <c r="J66" s="129" t="s">
        <v>137</v>
      </c>
      <c r="K66" s="129"/>
      <c r="L66" s="152"/>
    </row>
    <row r="67" spans="1:12" ht="16.5" thickBot="1" x14ac:dyDescent="0.3">
      <c r="A67" s="151"/>
      <c r="B67" s="128"/>
      <c r="C67" s="128"/>
      <c r="D67" s="28" t="s">
        <v>23</v>
      </c>
      <c r="E67" s="37">
        <v>293760</v>
      </c>
      <c r="F67" s="141"/>
      <c r="G67" s="141"/>
      <c r="H67" s="125"/>
      <c r="I67" s="130"/>
      <c r="J67" s="130"/>
      <c r="K67" s="130"/>
      <c r="L67" s="138"/>
    </row>
    <row r="68" spans="1:12" ht="33" customHeight="1" x14ac:dyDescent="0.25">
      <c r="A68" s="149" t="s">
        <v>146</v>
      </c>
      <c r="B68" s="126" t="s">
        <v>147</v>
      </c>
      <c r="C68" s="126" t="s">
        <v>18</v>
      </c>
      <c r="D68" s="32" t="s">
        <v>463</v>
      </c>
      <c r="E68" s="25">
        <f>SUM(E69:E70)</f>
        <v>107698</v>
      </c>
      <c r="F68" s="8">
        <f>SUM(F69:F70)</f>
        <v>0</v>
      </c>
      <c r="G68" s="8">
        <f>SUM(G69:G70)</f>
        <v>0</v>
      </c>
      <c r="H68" s="4" t="s">
        <v>19</v>
      </c>
      <c r="I68" s="32" t="s">
        <v>471</v>
      </c>
      <c r="J68" s="32" t="s">
        <v>28</v>
      </c>
      <c r="K68" s="32" t="s">
        <v>140</v>
      </c>
      <c r="L68" s="7"/>
    </row>
    <row r="69" spans="1:12" ht="19.5" customHeight="1" x14ac:dyDescent="0.25">
      <c r="A69" s="151"/>
      <c r="B69" s="127"/>
      <c r="C69" s="127"/>
      <c r="D69" s="28" t="s">
        <v>34</v>
      </c>
      <c r="E69" s="37">
        <v>72000</v>
      </c>
      <c r="F69" s="173">
        <v>0</v>
      </c>
      <c r="G69" s="173">
        <v>0</v>
      </c>
      <c r="H69" s="176" t="s">
        <v>141</v>
      </c>
      <c r="I69" s="129" t="s">
        <v>473</v>
      </c>
      <c r="J69" s="129" t="s">
        <v>48</v>
      </c>
      <c r="K69" s="129"/>
      <c r="L69" s="152"/>
    </row>
    <row r="70" spans="1:12" ht="16.5" thickBot="1" x14ac:dyDescent="0.3">
      <c r="A70" s="151"/>
      <c r="B70" s="127"/>
      <c r="C70" s="127"/>
      <c r="D70" s="28" t="s">
        <v>23</v>
      </c>
      <c r="E70" s="37">
        <v>35698</v>
      </c>
      <c r="F70" s="175"/>
      <c r="G70" s="175"/>
      <c r="H70" s="162"/>
      <c r="I70" s="130"/>
      <c r="J70" s="130"/>
      <c r="K70" s="130"/>
      <c r="L70" s="138"/>
    </row>
    <row r="71" spans="1:12" ht="24.75" customHeight="1" x14ac:dyDescent="0.25">
      <c r="A71" s="131" t="s">
        <v>148</v>
      </c>
      <c r="B71" s="126" t="s">
        <v>149</v>
      </c>
      <c r="C71" s="126" t="s">
        <v>111</v>
      </c>
      <c r="D71" s="134" t="s">
        <v>36</v>
      </c>
      <c r="E71" s="146">
        <f>SUM(E72:E72)+135000</f>
        <v>135000</v>
      </c>
      <c r="F71" s="146">
        <f>SUM(F72:F72)+100000</f>
        <v>100000</v>
      </c>
      <c r="G71" s="146">
        <f>SUM(G72:G72)+100000</f>
        <v>100000</v>
      </c>
      <c r="H71" s="4" t="s">
        <v>150</v>
      </c>
      <c r="I71" s="32" t="s">
        <v>473</v>
      </c>
      <c r="J71" s="32" t="s">
        <v>151</v>
      </c>
      <c r="K71" s="32" t="s">
        <v>151</v>
      </c>
      <c r="L71" s="35" t="s">
        <v>151</v>
      </c>
    </row>
    <row r="72" spans="1:12" ht="44.25" customHeight="1" thickBot="1" x14ac:dyDescent="0.3">
      <c r="A72" s="133"/>
      <c r="B72" s="128"/>
      <c r="C72" s="128"/>
      <c r="D72" s="130"/>
      <c r="E72" s="148"/>
      <c r="F72" s="148"/>
      <c r="G72" s="148"/>
      <c r="H72" s="9" t="s">
        <v>152</v>
      </c>
      <c r="I72" s="28" t="s">
        <v>473</v>
      </c>
      <c r="J72" s="28" t="s">
        <v>20</v>
      </c>
      <c r="K72" s="28" t="s">
        <v>20</v>
      </c>
      <c r="L72" s="42" t="s">
        <v>20</v>
      </c>
    </row>
    <row r="73" spans="1:12" ht="35.25" customHeight="1" x14ac:dyDescent="0.25">
      <c r="A73" s="149" t="s">
        <v>153</v>
      </c>
      <c r="B73" s="126" t="s">
        <v>154</v>
      </c>
      <c r="C73" s="126" t="s">
        <v>111</v>
      </c>
      <c r="D73" s="134" t="s">
        <v>36</v>
      </c>
      <c r="E73" s="146">
        <f>SUM(E74:E75)+1865400</f>
        <v>1865400</v>
      </c>
      <c r="F73" s="146">
        <f>SUM(F74:F75)+2010000</f>
        <v>2010000</v>
      </c>
      <c r="G73" s="146">
        <f>SUM(G74:G75)+2010000</f>
        <v>2010000</v>
      </c>
      <c r="H73" s="19" t="s">
        <v>155</v>
      </c>
      <c r="I73" s="32" t="s">
        <v>473</v>
      </c>
      <c r="J73" s="32" t="s">
        <v>156</v>
      </c>
      <c r="K73" s="32" t="s">
        <v>156</v>
      </c>
      <c r="L73" s="35" t="s">
        <v>156</v>
      </c>
    </row>
    <row r="74" spans="1:12" ht="24" customHeight="1" x14ac:dyDescent="0.25">
      <c r="A74" s="151"/>
      <c r="B74" s="127"/>
      <c r="C74" s="127"/>
      <c r="D74" s="135"/>
      <c r="E74" s="147"/>
      <c r="F74" s="147"/>
      <c r="G74" s="147"/>
      <c r="H74" s="27" t="s">
        <v>157</v>
      </c>
      <c r="I74" s="28" t="s">
        <v>158</v>
      </c>
      <c r="J74" s="43">
        <v>8450000</v>
      </c>
      <c r="K74" s="43">
        <v>8450000</v>
      </c>
      <c r="L74" s="44">
        <v>8450000</v>
      </c>
    </row>
    <row r="75" spans="1:12" ht="16.5" thickBot="1" x14ac:dyDescent="0.3">
      <c r="A75" s="150"/>
      <c r="B75" s="128"/>
      <c r="C75" s="128"/>
      <c r="D75" s="130"/>
      <c r="E75" s="148"/>
      <c r="F75" s="148"/>
      <c r="G75" s="148"/>
      <c r="H75" s="27" t="s">
        <v>159</v>
      </c>
      <c r="I75" s="28" t="s">
        <v>58</v>
      </c>
      <c r="J75" s="28" t="s">
        <v>160</v>
      </c>
      <c r="K75" s="28" t="s">
        <v>160</v>
      </c>
      <c r="L75" s="42" t="s">
        <v>160</v>
      </c>
    </row>
    <row r="76" spans="1:12" ht="66" customHeight="1" thickBot="1" x14ac:dyDescent="0.3">
      <c r="A76" s="2" t="s">
        <v>161</v>
      </c>
      <c r="B76" s="3" t="s">
        <v>162</v>
      </c>
      <c r="C76" s="19" t="s">
        <v>12</v>
      </c>
      <c r="D76" s="32" t="s">
        <v>13</v>
      </c>
      <c r="E76" s="48">
        <v>30000</v>
      </c>
      <c r="F76" s="48">
        <v>30000</v>
      </c>
      <c r="G76" s="48">
        <v>30000</v>
      </c>
      <c r="H76" s="19" t="s">
        <v>163</v>
      </c>
      <c r="I76" s="32" t="s">
        <v>471</v>
      </c>
      <c r="J76" s="32" t="s">
        <v>164</v>
      </c>
      <c r="K76" s="32" t="s">
        <v>165</v>
      </c>
      <c r="L76" s="35" t="s">
        <v>166</v>
      </c>
    </row>
    <row r="77" spans="1:12" ht="34.5" customHeight="1" x14ac:dyDescent="0.25">
      <c r="A77" s="131" t="s">
        <v>167</v>
      </c>
      <c r="B77" s="126" t="s">
        <v>168</v>
      </c>
      <c r="C77" s="126" t="s">
        <v>169</v>
      </c>
      <c r="D77" s="134" t="s">
        <v>36</v>
      </c>
      <c r="E77" s="146">
        <f>SUM(E78:E79)+80000</f>
        <v>80000</v>
      </c>
      <c r="F77" s="146">
        <f>SUM(F78:F79)+53000</f>
        <v>53000</v>
      </c>
      <c r="G77" s="146">
        <f>SUM(G78:G79)+53000</f>
        <v>53000</v>
      </c>
      <c r="H77" s="19" t="s">
        <v>170</v>
      </c>
      <c r="I77" s="32" t="s">
        <v>471</v>
      </c>
      <c r="J77" s="32" t="s">
        <v>33</v>
      </c>
      <c r="K77" s="32" t="s">
        <v>33</v>
      </c>
      <c r="L77" s="35" t="s">
        <v>33</v>
      </c>
    </row>
    <row r="78" spans="1:12" ht="31.5" x14ac:dyDescent="0.25">
      <c r="A78" s="132"/>
      <c r="B78" s="127"/>
      <c r="C78" s="127"/>
      <c r="D78" s="135"/>
      <c r="E78" s="147"/>
      <c r="F78" s="147"/>
      <c r="G78" s="147"/>
      <c r="H78" s="27" t="s">
        <v>171</v>
      </c>
      <c r="I78" s="28" t="s">
        <v>473</v>
      </c>
      <c r="J78" s="28" t="s">
        <v>172</v>
      </c>
      <c r="K78" s="28" t="s">
        <v>172</v>
      </c>
      <c r="L78" s="42" t="s">
        <v>172</v>
      </c>
    </row>
    <row r="79" spans="1:12" ht="32.25" thickBot="1" x14ac:dyDescent="0.3">
      <c r="A79" s="133"/>
      <c r="B79" s="128"/>
      <c r="C79" s="128"/>
      <c r="D79" s="130"/>
      <c r="E79" s="148"/>
      <c r="F79" s="148"/>
      <c r="G79" s="148"/>
      <c r="H79" s="27" t="s">
        <v>173</v>
      </c>
      <c r="I79" s="28" t="s">
        <v>473</v>
      </c>
      <c r="J79" s="28" t="s">
        <v>174</v>
      </c>
      <c r="K79" s="28" t="s">
        <v>174</v>
      </c>
      <c r="L79" s="42" t="s">
        <v>174</v>
      </c>
    </row>
    <row r="80" spans="1:12" ht="32.25" thickBot="1" x14ac:dyDescent="0.3">
      <c r="A80" s="2" t="s">
        <v>175</v>
      </c>
      <c r="B80" s="3" t="s">
        <v>176</v>
      </c>
      <c r="C80" s="19" t="s">
        <v>169</v>
      </c>
      <c r="D80" s="32" t="s">
        <v>36</v>
      </c>
      <c r="E80" s="48">
        <v>360000</v>
      </c>
      <c r="F80" s="48">
        <v>310000</v>
      </c>
      <c r="G80" s="48">
        <v>260000</v>
      </c>
      <c r="H80" s="4" t="s">
        <v>177</v>
      </c>
      <c r="I80" s="32" t="s">
        <v>471</v>
      </c>
      <c r="J80" s="32" t="s">
        <v>83</v>
      </c>
      <c r="K80" s="32" t="s">
        <v>96</v>
      </c>
      <c r="L80" s="35" t="s">
        <v>96</v>
      </c>
    </row>
    <row r="81" spans="1:13" ht="48" thickBot="1" x14ac:dyDescent="0.3">
      <c r="A81" s="2" t="s">
        <v>178</v>
      </c>
      <c r="B81" s="3" t="s">
        <v>179</v>
      </c>
      <c r="C81" s="19" t="s">
        <v>169</v>
      </c>
      <c r="D81" s="32" t="s">
        <v>36</v>
      </c>
      <c r="E81" s="48">
        <v>50000</v>
      </c>
      <c r="F81" s="48">
        <v>120000</v>
      </c>
      <c r="G81" s="48">
        <v>120000</v>
      </c>
      <c r="H81" s="4" t="s">
        <v>180</v>
      </c>
      <c r="I81" s="32" t="s">
        <v>473</v>
      </c>
      <c r="J81" s="32" t="s">
        <v>181</v>
      </c>
      <c r="K81" s="32" t="s">
        <v>182</v>
      </c>
      <c r="L81" s="35" t="s">
        <v>182</v>
      </c>
    </row>
    <row r="82" spans="1:13" ht="48" thickBot="1" x14ac:dyDescent="0.3">
      <c r="A82" s="2" t="s">
        <v>183</v>
      </c>
      <c r="B82" s="3" t="s">
        <v>184</v>
      </c>
      <c r="C82" s="19" t="s">
        <v>169</v>
      </c>
      <c r="D82" s="32" t="s">
        <v>36</v>
      </c>
      <c r="E82" s="48">
        <v>80000</v>
      </c>
      <c r="F82" s="48">
        <v>60000</v>
      </c>
      <c r="G82" s="48">
        <v>40000</v>
      </c>
      <c r="H82" s="4" t="s">
        <v>185</v>
      </c>
      <c r="I82" s="32" t="s">
        <v>471</v>
      </c>
      <c r="J82" s="32" t="s">
        <v>78</v>
      </c>
      <c r="K82" s="32" t="s">
        <v>83</v>
      </c>
      <c r="L82" s="35" t="s">
        <v>83</v>
      </c>
    </row>
    <row r="83" spans="1:13" ht="48" thickBot="1" x14ac:dyDescent="0.3">
      <c r="A83" s="80" t="s">
        <v>186</v>
      </c>
      <c r="B83" s="79" t="s">
        <v>187</v>
      </c>
      <c r="C83" s="79" t="s">
        <v>111</v>
      </c>
      <c r="D83" s="57" t="s">
        <v>36</v>
      </c>
      <c r="E83" s="75">
        <v>0</v>
      </c>
      <c r="F83" s="75">
        <v>200000</v>
      </c>
      <c r="G83" s="75"/>
      <c r="H83" s="79" t="s">
        <v>136</v>
      </c>
      <c r="I83" s="57" t="s">
        <v>473</v>
      </c>
      <c r="J83" s="57"/>
      <c r="K83" s="71">
        <v>10</v>
      </c>
      <c r="L83" s="72">
        <v>10</v>
      </c>
      <c r="M83" s="81"/>
    </row>
    <row r="84" spans="1:13" ht="22.5" customHeight="1" x14ac:dyDescent="0.25">
      <c r="A84" s="149" t="s">
        <v>188</v>
      </c>
      <c r="B84" s="126" t="s">
        <v>189</v>
      </c>
      <c r="C84" s="126" t="s">
        <v>169</v>
      </c>
      <c r="D84" s="32" t="s">
        <v>463</v>
      </c>
      <c r="E84" s="25">
        <f>SUM(E85:E86)</f>
        <v>5800000</v>
      </c>
      <c r="F84" s="25">
        <f>SUM(F85:F86)</f>
        <v>7300000</v>
      </c>
      <c r="G84" s="25">
        <f>SUM(G85:G86)</f>
        <v>7300000</v>
      </c>
      <c r="H84" s="123" t="s">
        <v>190</v>
      </c>
      <c r="I84" s="134" t="s">
        <v>476</v>
      </c>
      <c r="J84" s="177">
        <v>1250000</v>
      </c>
      <c r="K84" s="177">
        <v>1300000</v>
      </c>
      <c r="L84" s="180">
        <v>1300000</v>
      </c>
    </row>
    <row r="85" spans="1:13" x14ac:dyDescent="0.25">
      <c r="A85" s="151"/>
      <c r="B85" s="127"/>
      <c r="C85" s="127"/>
      <c r="D85" s="28" t="s">
        <v>133</v>
      </c>
      <c r="E85" s="37">
        <v>1000000</v>
      </c>
      <c r="F85" s="37">
        <v>1000000</v>
      </c>
      <c r="G85" s="37">
        <v>1000000</v>
      </c>
      <c r="H85" s="124"/>
      <c r="I85" s="135"/>
      <c r="J85" s="178"/>
      <c r="K85" s="178"/>
      <c r="L85" s="181"/>
    </row>
    <row r="86" spans="1:13" ht="16.5" thickBot="1" x14ac:dyDescent="0.3">
      <c r="A86" s="150"/>
      <c r="B86" s="128"/>
      <c r="C86" s="128"/>
      <c r="D86" s="28" t="s">
        <v>36</v>
      </c>
      <c r="E86" s="37">
        <v>4800000</v>
      </c>
      <c r="F86" s="37">
        <v>6300000</v>
      </c>
      <c r="G86" s="37">
        <v>6300000</v>
      </c>
      <c r="H86" s="125"/>
      <c r="I86" s="130"/>
      <c r="J86" s="179"/>
      <c r="K86" s="179"/>
      <c r="L86" s="182"/>
    </row>
    <row r="87" spans="1:13" ht="24" customHeight="1" x14ac:dyDescent="0.25">
      <c r="A87" s="149" t="s">
        <v>191</v>
      </c>
      <c r="B87" s="126" t="s">
        <v>192</v>
      </c>
      <c r="C87" s="126" t="s">
        <v>169</v>
      </c>
      <c r="D87" s="32" t="s">
        <v>463</v>
      </c>
      <c r="E87" s="25">
        <f>SUM(E88:E89)</f>
        <v>10803000</v>
      </c>
      <c r="F87" s="25">
        <f>SUM(F88:F89)</f>
        <v>44620000</v>
      </c>
      <c r="G87" s="25">
        <f>SUM(G88:G89)</f>
        <v>33500000</v>
      </c>
      <c r="H87" s="19" t="s">
        <v>193</v>
      </c>
      <c r="I87" s="32" t="s">
        <v>473</v>
      </c>
      <c r="J87" s="32" t="s">
        <v>172</v>
      </c>
      <c r="K87" s="32" t="s">
        <v>172</v>
      </c>
      <c r="L87" s="35" t="s">
        <v>172</v>
      </c>
    </row>
    <row r="88" spans="1:13" ht="24.75" customHeight="1" x14ac:dyDescent="0.25">
      <c r="A88" s="151"/>
      <c r="B88" s="127"/>
      <c r="C88" s="127"/>
      <c r="D88" s="28" t="s">
        <v>36</v>
      </c>
      <c r="E88" s="37">
        <v>6553000</v>
      </c>
      <c r="F88" s="37">
        <v>39620000</v>
      </c>
      <c r="G88" s="37">
        <v>28500000</v>
      </c>
      <c r="H88" s="153" t="s">
        <v>190</v>
      </c>
      <c r="I88" s="129" t="s">
        <v>476</v>
      </c>
      <c r="J88" s="129" t="s">
        <v>194</v>
      </c>
      <c r="K88" s="129" t="s">
        <v>194</v>
      </c>
      <c r="L88" s="167" t="s">
        <v>195</v>
      </c>
    </row>
    <row r="89" spans="1:13" ht="16.5" thickBot="1" x14ac:dyDescent="0.3">
      <c r="A89" s="150"/>
      <c r="B89" s="128"/>
      <c r="C89" s="128"/>
      <c r="D89" s="28" t="s">
        <v>133</v>
      </c>
      <c r="E89" s="37">
        <v>4250000</v>
      </c>
      <c r="F89" s="37">
        <v>5000000</v>
      </c>
      <c r="G89" s="37">
        <v>5000000</v>
      </c>
      <c r="H89" s="128"/>
      <c r="I89" s="130"/>
      <c r="J89" s="130"/>
      <c r="K89" s="130"/>
      <c r="L89" s="169"/>
    </row>
    <row r="90" spans="1:13" ht="22.5" customHeight="1" x14ac:dyDescent="0.25">
      <c r="A90" s="149" t="s">
        <v>196</v>
      </c>
      <c r="B90" s="126" t="s">
        <v>197</v>
      </c>
      <c r="C90" s="126" t="s">
        <v>108</v>
      </c>
      <c r="D90" s="32" t="s">
        <v>463</v>
      </c>
      <c r="E90" s="8">
        <f>SUM(E91:E92)</f>
        <v>2700000</v>
      </c>
      <c r="F90" s="8">
        <f>SUM(F91:F92)</f>
        <v>2674900</v>
      </c>
      <c r="G90" s="139">
        <f>SUM(G91:G92)</f>
        <v>0</v>
      </c>
      <c r="H90" s="126" t="s">
        <v>19</v>
      </c>
      <c r="I90" s="134" t="s">
        <v>471</v>
      </c>
      <c r="J90" s="134" t="s">
        <v>198</v>
      </c>
      <c r="K90" s="134" t="s">
        <v>96</v>
      </c>
      <c r="L90" s="183"/>
    </row>
    <row r="91" spans="1:13" x14ac:dyDescent="0.25">
      <c r="A91" s="151"/>
      <c r="B91" s="127"/>
      <c r="C91" s="127"/>
      <c r="D91" s="28" t="s">
        <v>36</v>
      </c>
      <c r="E91" s="10">
        <v>200000</v>
      </c>
      <c r="F91" s="10">
        <v>0</v>
      </c>
      <c r="G91" s="140"/>
      <c r="H91" s="127"/>
      <c r="I91" s="135"/>
      <c r="J91" s="135"/>
      <c r="K91" s="135"/>
      <c r="L91" s="168"/>
    </row>
    <row r="92" spans="1:13" ht="16.5" thickBot="1" x14ac:dyDescent="0.3">
      <c r="A92" s="150"/>
      <c r="B92" s="128"/>
      <c r="C92" s="128"/>
      <c r="D92" s="28" t="s">
        <v>133</v>
      </c>
      <c r="E92" s="10">
        <v>2500000</v>
      </c>
      <c r="F92" s="10">
        <v>2674900</v>
      </c>
      <c r="G92" s="141"/>
      <c r="H92" s="128"/>
      <c r="I92" s="130"/>
      <c r="J92" s="130"/>
      <c r="K92" s="130"/>
      <c r="L92" s="169"/>
    </row>
    <row r="93" spans="1:13" ht="32.25" thickBot="1" x14ac:dyDescent="0.3">
      <c r="A93" s="2" t="s">
        <v>199</v>
      </c>
      <c r="B93" s="3" t="s">
        <v>200</v>
      </c>
      <c r="C93" s="19" t="s">
        <v>169</v>
      </c>
      <c r="D93" s="32" t="s">
        <v>36</v>
      </c>
      <c r="E93" s="48">
        <v>400000</v>
      </c>
      <c r="F93" s="48">
        <v>4680000</v>
      </c>
      <c r="G93" s="48">
        <v>300000</v>
      </c>
      <c r="H93" s="4" t="s">
        <v>201</v>
      </c>
      <c r="I93" s="32" t="s">
        <v>471</v>
      </c>
      <c r="J93" s="32" t="s">
        <v>202</v>
      </c>
      <c r="K93" s="32" t="s">
        <v>202</v>
      </c>
      <c r="L93" s="35" t="s">
        <v>202</v>
      </c>
    </row>
    <row r="94" spans="1:13" ht="21.75" customHeight="1" x14ac:dyDescent="0.25">
      <c r="A94" s="184" t="s">
        <v>203</v>
      </c>
      <c r="B94" s="170" t="s">
        <v>204</v>
      </c>
      <c r="C94" s="126" t="s">
        <v>169</v>
      </c>
      <c r="D94" s="134" t="s">
        <v>36</v>
      </c>
      <c r="E94" s="146">
        <f>SUM(E95:E95)+350000</f>
        <v>350000</v>
      </c>
      <c r="F94" s="146">
        <f>SUM(F95:F95)+50000</f>
        <v>50000</v>
      </c>
      <c r="G94" s="146">
        <f>SUM(G95:G95)+100000</f>
        <v>100000</v>
      </c>
      <c r="H94" s="126" t="s">
        <v>205</v>
      </c>
      <c r="I94" s="134" t="s">
        <v>476</v>
      </c>
      <c r="J94" s="134" t="s">
        <v>206</v>
      </c>
      <c r="K94" s="134" t="s">
        <v>206</v>
      </c>
      <c r="L94" s="183" t="s">
        <v>206</v>
      </c>
    </row>
    <row r="95" spans="1:13" ht="16.5" thickBot="1" x14ac:dyDescent="0.3">
      <c r="A95" s="185"/>
      <c r="B95" s="172"/>
      <c r="C95" s="128"/>
      <c r="D95" s="130"/>
      <c r="E95" s="148"/>
      <c r="F95" s="148"/>
      <c r="G95" s="148"/>
      <c r="H95" s="128"/>
      <c r="I95" s="130"/>
      <c r="J95" s="130"/>
      <c r="K95" s="130"/>
      <c r="L95" s="169"/>
    </row>
    <row r="96" spans="1:13" ht="31.5" customHeight="1" x14ac:dyDescent="0.25">
      <c r="A96" s="149" t="s">
        <v>207</v>
      </c>
      <c r="B96" s="126" t="s">
        <v>208</v>
      </c>
      <c r="C96" s="126" t="s">
        <v>169</v>
      </c>
      <c r="D96" s="22" t="s">
        <v>463</v>
      </c>
      <c r="E96" s="23">
        <f>SUM(E97:E98)</f>
        <v>3073437</v>
      </c>
      <c r="F96" s="23">
        <f>SUM(F97:F98)</f>
        <v>11225000</v>
      </c>
      <c r="G96" s="23">
        <f>SUM(G97:G98)</f>
        <v>6352221</v>
      </c>
      <c r="H96" s="126" t="s">
        <v>209</v>
      </c>
      <c r="I96" s="134" t="s">
        <v>476</v>
      </c>
      <c r="J96" s="134" t="s">
        <v>210</v>
      </c>
      <c r="K96" s="134" t="s">
        <v>211</v>
      </c>
      <c r="L96" s="183" t="s">
        <v>212</v>
      </c>
    </row>
    <row r="97" spans="1:12" x14ac:dyDescent="0.25">
      <c r="A97" s="151"/>
      <c r="B97" s="127"/>
      <c r="C97" s="127"/>
      <c r="D97" s="45" t="s">
        <v>34</v>
      </c>
      <c r="E97" s="59">
        <v>2473437</v>
      </c>
      <c r="F97" s="59">
        <v>11225000</v>
      </c>
      <c r="G97" s="59">
        <v>6352221</v>
      </c>
      <c r="H97" s="127"/>
      <c r="I97" s="135"/>
      <c r="J97" s="135"/>
      <c r="K97" s="135"/>
      <c r="L97" s="168"/>
    </row>
    <row r="98" spans="1:12" ht="16.5" thickBot="1" x14ac:dyDescent="0.3">
      <c r="A98" s="150"/>
      <c r="B98" s="128"/>
      <c r="C98" s="128"/>
      <c r="D98" s="45" t="s">
        <v>36</v>
      </c>
      <c r="E98" s="59">
        <v>600000</v>
      </c>
      <c r="F98" s="59">
        <v>0</v>
      </c>
      <c r="G98" s="59">
        <v>0</v>
      </c>
      <c r="H98" s="128"/>
      <c r="I98" s="130"/>
      <c r="J98" s="130"/>
      <c r="K98" s="130"/>
      <c r="L98" s="169"/>
    </row>
    <row r="99" spans="1:12" ht="48" thickBot="1" x14ac:dyDescent="0.3">
      <c r="A99" s="60" t="s">
        <v>213</v>
      </c>
      <c r="B99" s="19" t="s">
        <v>214</v>
      </c>
      <c r="C99" s="19" t="s">
        <v>169</v>
      </c>
      <c r="D99" s="32" t="s">
        <v>36</v>
      </c>
      <c r="E99" s="48">
        <v>0</v>
      </c>
      <c r="F99" s="48">
        <v>2500000</v>
      </c>
      <c r="G99" s="5">
        <v>0</v>
      </c>
      <c r="H99" s="19" t="s">
        <v>215</v>
      </c>
      <c r="I99" s="32" t="s">
        <v>476</v>
      </c>
      <c r="J99" s="32"/>
      <c r="K99" s="32" t="s">
        <v>216</v>
      </c>
      <c r="L99" s="7"/>
    </row>
    <row r="100" spans="1:12" ht="32.25" thickBot="1" x14ac:dyDescent="0.3">
      <c r="A100" s="60" t="s">
        <v>217</v>
      </c>
      <c r="B100" s="19" t="s">
        <v>218</v>
      </c>
      <c r="C100" s="19" t="s">
        <v>169</v>
      </c>
      <c r="D100" s="32" t="s">
        <v>133</v>
      </c>
      <c r="E100" s="48">
        <v>1300000</v>
      </c>
      <c r="F100" s="48">
        <v>0</v>
      </c>
      <c r="G100" s="5">
        <v>0</v>
      </c>
      <c r="H100" s="19" t="s">
        <v>215</v>
      </c>
      <c r="I100" s="32" t="s">
        <v>476</v>
      </c>
      <c r="J100" s="32" t="s">
        <v>219</v>
      </c>
      <c r="K100" s="32"/>
      <c r="L100" s="7"/>
    </row>
    <row r="101" spans="1:12" ht="48" thickBot="1" x14ac:dyDescent="0.3">
      <c r="A101" s="60" t="s">
        <v>220</v>
      </c>
      <c r="B101" s="19" t="s">
        <v>221</v>
      </c>
      <c r="C101" s="19" t="s">
        <v>169</v>
      </c>
      <c r="D101" s="32" t="s">
        <v>133</v>
      </c>
      <c r="E101" s="48">
        <v>700000</v>
      </c>
      <c r="F101" s="48">
        <v>0</v>
      </c>
      <c r="G101" s="5">
        <v>0</v>
      </c>
      <c r="H101" s="19" t="s">
        <v>215</v>
      </c>
      <c r="I101" s="32" t="s">
        <v>476</v>
      </c>
      <c r="J101" s="32" t="s">
        <v>222</v>
      </c>
      <c r="K101" s="32"/>
      <c r="L101" s="7"/>
    </row>
    <row r="102" spans="1:12" ht="32.25" thickBot="1" x14ac:dyDescent="0.3">
      <c r="A102" s="60" t="s">
        <v>223</v>
      </c>
      <c r="B102" s="19" t="s">
        <v>224</v>
      </c>
      <c r="C102" s="19" t="s">
        <v>169</v>
      </c>
      <c r="D102" s="32" t="s">
        <v>133</v>
      </c>
      <c r="E102" s="48">
        <v>600000</v>
      </c>
      <c r="F102" s="48">
        <v>0</v>
      </c>
      <c r="G102" s="5">
        <v>0</v>
      </c>
      <c r="H102" s="19" t="s">
        <v>215</v>
      </c>
      <c r="I102" s="32" t="s">
        <v>476</v>
      </c>
      <c r="J102" s="32" t="s">
        <v>225</v>
      </c>
      <c r="K102" s="32"/>
      <c r="L102" s="7"/>
    </row>
    <row r="103" spans="1:12" ht="20.25" customHeight="1" x14ac:dyDescent="0.25">
      <c r="A103" s="149" t="s">
        <v>226</v>
      </c>
      <c r="B103" s="126" t="s">
        <v>227</v>
      </c>
      <c r="C103" s="126" t="s">
        <v>169</v>
      </c>
      <c r="D103" s="32" t="s">
        <v>463</v>
      </c>
      <c r="E103" s="25">
        <f>SUM(E104:E105)</f>
        <v>1064000</v>
      </c>
      <c r="F103" s="146">
        <f>SUM(F104:F105)</f>
        <v>0</v>
      </c>
      <c r="G103" s="139">
        <f>SUM(G104:G105)</f>
        <v>0</v>
      </c>
      <c r="H103" s="126" t="s">
        <v>215</v>
      </c>
      <c r="I103" s="134" t="s">
        <v>476</v>
      </c>
      <c r="J103" s="134" t="s">
        <v>228</v>
      </c>
      <c r="K103" s="134"/>
      <c r="L103" s="136"/>
    </row>
    <row r="104" spans="1:12" x14ac:dyDescent="0.25">
      <c r="A104" s="151"/>
      <c r="B104" s="127"/>
      <c r="C104" s="127"/>
      <c r="D104" s="28" t="s">
        <v>133</v>
      </c>
      <c r="E104" s="37">
        <v>668410</v>
      </c>
      <c r="F104" s="147"/>
      <c r="G104" s="140"/>
      <c r="H104" s="127"/>
      <c r="I104" s="135"/>
      <c r="J104" s="135"/>
      <c r="K104" s="135"/>
      <c r="L104" s="137"/>
    </row>
    <row r="105" spans="1:12" ht="16.5" thickBot="1" x14ac:dyDescent="0.3">
      <c r="A105" s="150"/>
      <c r="B105" s="128"/>
      <c r="C105" s="128"/>
      <c r="D105" s="28" t="s">
        <v>34</v>
      </c>
      <c r="E105" s="37">
        <v>395590</v>
      </c>
      <c r="F105" s="148"/>
      <c r="G105" s="141"/>
      <c r="H105" s="128"/>
      <c r="I105" s="130"/>
      <c r="J105" s="130"/>
      <c r="K105" s="130"/>
      <c r="L105" s="138"/>
    </row>
    <row r="106" spans="1:12" ht="48" thickBot="1" x14ac:dyDescent="0.3">
      <c r="A106" s="60" t="s">
        <v>229</v>
      </c>
      <c r="B106" s="19" t="s">
        <v>230</v>
      </c>
      <c r="C106" s="19" t="s">
        <v>169</v>
      </c>
      <c r="D106" s="32" t="s">
        <v>34</v>
      </c>
      <c r="E106" s="48">
        <v>1115778</v>
      </c>
      <c r="F106" s="5">
        <v>0</v>
      </c>
      <c r="G106" s="5">
        <v>0</v>
      </c>
      <c r="H106" s="19" t="s">
        <v>215</v>
      </c>
      <c r="I106" s="32" t="s">
        <v>476</v>
      </c>
      <c r="J106" s="32" t="s">
        <v>231</v>
      </c>
      <c r="K106" s="32" t="s">
        <v>231</v>
      </c>
      <c r="L106" s="34"/>
    </row>
    <row r="107" spans="1:12" ht="18.75" customHeight="1" x14ac:dyDescent="0.25">
      <c r="A107" s="131" t="s">
        <v>232</v>
      </c>
      <c r="B107" s="126" t="s">
        <v>233</v>
      </c>
      <c r="C107" s="126" t="s">
        <v>108</v>
      </c>
      <c r="D107" s="32" t="s">
        <v>463</v>
      </c>
      <c r="E107" s="25">
        <f>SUM(E108:E109)</f>
        <v>902714</v>
      </c>
      <c r="F107" s="25">
        <f>SUM(F108:F109)</f>
        <v>529000</v>
      </c>
      <c r="G107" s="139">
        <f>SUM(G108:G109)</f>
        <v>0</v>
      </c>
      <c r="H107" s="160" t="s">
        <v>19</v>
      </c>
      <c r="I107" s="134" t="s">
        <v>471</v>
      </c>
      <c r="J107" s="134" t="s">
        <v>74</v>
      </c>
      <c r="K107" s="134" t="s">
        <v>140</v>
      </c>
      <c r="L107" s="136"/>
    </row>
    <row r="108" spans="1:12" ht="22.5" customHeight="1" x14ac:dyDescent="0.25">
      <c r="A108" s="132"/>
      <c r="B108" s="127"/>
      <c r="C108" s="127"/>
      <c r="D108" s="28" t="s">
        <v>34</v>
      </c>
      <c r="E108" s="37">
        <v>192714</v>
      </c>
      <c r="F108" s="37">
        <v>0</v>
      </c>
      <c r="G108" s="140"/>
      <c r="H108" s="161"/>
      <c r="I108" s="135"/>
      <c r="J108" s="135"/>
      <c r="K108" s="135"/>
      <c r="L108" s="137"/>
    </row>
    <row r="109" spans="1:12" ht="46.5" customHeight="1" thickBot="1" x14ac:dyDescent="0.3">
      <c r="A109" s="133"/>
      <c r="B109" s="128"/>
      <c r="C109" s="128"/>
      <c r="D109" s="28" t="s">
        <v>133</v>
      </c>
      <c r="E109" s="37">
        <v>710000</v>
      </c>
      <c r="F109" s="37">
        <v>529000</v>
      </c>
      <c r="G109" s="141"/>
      <c r="H109" s="162"/>
      <c r="I109" s="130"/>
      <c r="J109" s="130"/>
      <c r="K109" s="130"/>
      <c r="L109" s="138"/>
    </row>
    <row r="110" spans="1:12" ht="22.5" customHeight="1" x14ac:dyDescent="0.25">
      <c r="A110" s="131" t="s">
        <v>234</v>
      </c>
      <c r="B110" s="126" t="s">
        <v>235</v>
      </c>
      <c r="C110" s="126" t="s">
        <v>18</v>
      </c>
      <c r="D110" s="32" t="s">
        <v>463</v>
      </c>
      <c r="E110" s="25">
        <f>SUM(E111:E112)</f>
        <v>92000</v>
      </c>
      <c r="F110" s="25">
        <f>SUM(F111:F112)</f>
        <v>3800</v>
      </c>
      <c r="G110" s="139">
        <f>SUM(G111:G112)</f>
        <v>0</v>
      </c>
      <c r="H110" s="126" t="s">
        <v>19</v>
      </c>
      <c r="I110" s="134" t="s">
        <v>471</v>
      </c>
      <c r="J110" s="134" t="s">
        <v>198</v>
      </c>
      <c r="K110" s="134" t="s">
        <v>29</v>
      </c>
      <c r="L110" s="136"/>
    </row>
    <row r="111" spans="1:12" x14ac:dyDescent="0.25">
      <c r="A111" s="132"/>
      <c r="B111" s="127"/>
      <c r="C111" s="127"/>
      <c r="D111" s="28" t="s">
        <v>36</v>
      </c>
      <c r="E111" s="37">
        <v>90000</v>
      </c>
      <c r="F111" s="37">
        <v>0</v>
      </c>
      <c r="G111" s="140"/>
      <c r="H111" s="127"/>
      <c r="I111" s="135"/>
      <c r="J111" s="135"/>
      <c r="K111" s="135"/>
      <c r="L111" s="137"/>
    </row>
    <row r="112" spans="1:12" ht="16.5" thickBot="1" x14ac:dyDescent="0.3">
      <c r="A112" s="133"/>
      <c r="B112" s="128"/>
      <c r="C112" s="128"/>
      <c r="D112" s="28" t="s">
        <v>23</v>
      </c>
      <c r="E112" s="37">
        <v>2000</v>
      </c>
      <c r="F112" s="37">
        <v>3800</v>
      </c>
      <c r="G112" s="141"/>
      <c r="H112" s="128"/>
      <c r="I112" s="130"/>
      <c r="J112" s="130"/>
      <c r="K112" s="130"/>
      <c r="L112" s="138"/>
    </row>
    <row r="113" spans="1:12" ht="79.5" thickBot="1" x14ac:dyDescent="0.3">
      <c r="A113" s="2" t="s">
        <v>236</v>
      </c>
      <c r="B113" s="3" t="s">
        <v>477</v>
      </c>
      <c r="C113" s="19" t="s">
        <v>111</v>
      </c>
      <c r="D113" s="32" t="s">
        <v>36</v>
      </c>
      <c r="E113" s="48">
        <v>405000</v>
      </c>
      <c r="F113" s="48">
        <v>15000</v>
      </c>
      <c r="G113" s="48">
        <v>15000</v>
      </c>
      <c r="H113" s="19" t="s">
        <v>237</v>
      </c>
      <c r="I113" s="32" t="s">
        <v>473</v>
      </c>
      <c r="J113" s="32" t="s">
        <v>238</v>
      </c>
      <c r="K113" s="32" t="s">
        <v>238</v>
      </c>
      <c r="L113" s="35" t="s">
        <v>238</v>
      </c>
    </row>
    <row r="114" spans="1:12" ht="37.5" customHeight="1" x14ac:dyDescent="0.25">
      <c r="A114" s="149" t="s">
        <v>239</v>
      </c>
      <c r="B114" s="126" t="s">
        <v>240</v>
      </c>
      <c r="C114" s="126" t="s">
        <v>111</v>
      </c>
      <c r="D114" s="134" t="s">
        <v>36</v>
      </c>
      <c r="E114" s="146">
        <f>SUM(E115:E115)+811323</f>
        <v>811323</v>
      </c>
      <c r="F114" s="146">
        <f>SUM(F115:F115)+1000000</f>
        <v>1000000</v>
      </c>
      <c r="G114" s="146">
        <f>SUM(G115:G115)+1000000</f>
        <v>1000000</v>
      </c>
      <c r="H114" s="4" t="s">
        <v>241</v>
      </c>
      <c r="I114" s="32" t="s">
        <v>473</v>
      </c>
      <c r="J114" s="32" t="s">
        <v>242</v>
      </c>
      <c r="K114" s="32" t="s">
        <v>242</v>
      </c>
      <c r="L114" s="35" t="s">
        <v>242</v>
      </c>
    </row>
    <row r="115" spans="1:12" ht="64.5" customHeight="1" thickBot="1" x14ac:dyDescent="0.3">
      <c r="A115" s="150"/>
      <c r="B115" s="128"/>
      <c r="C115" s="128"/>
      <c r="D115" s="130"/>
      <c r="E115" s="148"/>
      <c r="F115" s="148"/>
      <c r="G115" s="148"/>
      <c r="H115" s="9" t="s">
        <v>243</v>
      </c>
      <c r="I115" s="28" t="s">
        <v>471</v>
      </c>
      <c r="J115" s="28" t="s">
        <v>64</v>
      </c>
      <c r="K115" s="28" t="s">
        <v>244</v>
      </c>
      <c r="L115" s="42" t="s">
        <v>245</v>
      </c>
    </row>
    <row r="116" spans="1:12" ht="25.5" customHeight="1" x14ac:dyDescent="0.25">
      <c r="A116" s="149" t="s">
        <v>246</v>
      </c>
      <c r="B116" s="126" t="s">
        <v>247</v>
      </c>
      <c r="C116" s="126" t="s">
        <v>111</v>
      </c>
      <c r="D116" s="32" t="s">
        <v>463</v>
      </c>
      <c r="E116" s="25">
        <f>SUM(E117:E117)</f>
        <v>770000</v>
      </c>
      <c r="F116" s="25">
        <f>SUM(F117:F117)</f>
        <v>1000000</v>
      </c>
      <c r="G116" s="25">
        <f>SUM(G117:G117)</f>
        <v>1000000</v>
      </c>
      <c r="H116" s="123" t="s">
        <v>248</v>
      </c>
      <c r="I116" s="134" t="s">
        <v>471</v>
      </c>
      <c r="J116" s="134" t="s">
        <v>140</v>
      </c>
      <c r="K116" s="134" t="s">
        <v>140</v>
      </c>
      <c r="L116" s="183" t="s">
        <v>140</v>
      </c>
    </row>
    <row r="117" spans="1:12" ht="36.75" customHeight="1" thickBot="1" x14ac:dyDescent="0.3">
      <c r="A117" s="151"/>
      <c r="B117" s="127"/>
      <c r="C117" s="128"/>
      <c r="D117" s="28" t="s">
        <v>36</v>
      </c>
      <c r="E117" s="37">
        <v>770000</v>
      </c>
      <c r="F117" s="37">
        <v>1000000</v>
      </c>
      <c r="G117" s="37">
        <v>1000000</v>
      </c>
      <c r="H117" s="125"/>
      <c r="I117" s="130"/>
      <c r="J117" s="130"/>
      <c r="K117" s="130"/>
      <c r="L117" s="169"/>
    </row>
    <row r="118" spans="1:12" ht="48" thickBot="1" x14ac:dyDescent="0.3">
      <c r="A118" s="60" t="s">
        <v>249</v>
      </c>
      <c r="B118" s="19" t="s">
        <v>250</v>
      </c>
      <c r="C118" s="19" t="s">
        <v>111</v>
      </c>
      <c r="D118" s="32" t="s">
        <v>36</v>
      </c>
      <c r="E118" s="48">
        <v>295500</v>
      </c>
      <c r="F118" s="48">
        <v>300000</v>
      </c>
      <c r="G118" s="48">
        <v>300000</v>
      </c>
      <c r="H118" s="22" t="s">
        <v>492</v>
      </c>
      <c r="I118" s="32" t="s">
        <v>58</v>
      </c>
      <c r="J118" s="32" t="s">
        <v>251</v>
      </c>
      <c r="K118" s="32" t="s">
        <v>252</v>
      </c>
      <c r="L118" s="35" t="s">
        <v>252</v>
      </c>
    </row>
    <row r="119" spans="1:12" ht="34.5" customHeight="1" x14ac:dyDescent="0.25">
      <c r="A119" s="149" t="s">
        <v>253</v>
      </c>
      <c r="B119" s="126" t="s">
        <v>254</v>
      </c>
      <c r="C119" s="126" t="s">
        <v>18</v>
      </c>
      <c r="D119" s="32" t="s">
        <v>463</v>
      </c>
      <c r="E119" s="8">
        <f>SUM(E120:E121)</f>
        <v>3764019</v>
      </c>
      <c r="F119" s="8">
        <f>SUM(F120:F121)</f>
        <v>3764019</v>
      </c>
      <c r="G119" s="139">
        <f>SUM(G120:G121)</f>
        <v>0</v>
      </c>
      <c r="H119" s="4" t="s">
        <v>193</v>
      </c>
      <c r="I119" s="32" t="s">
        <v>473</v>
      </c>
      <c r="J119" s="32" t="s">
        <v>75</v>
      </c>
      <c r="K119" s="32" t="s">
        <v>244</v>
      </c>
      <c r="L119" s="7"/>
    </row>
    <row r="120" spans="1:12" ht="23.25" customHeight="1" x14ac:dyDescent="0.25">
      <c r="A120" s="151"/>
      <c r="B120" s="127"/>
      <c r="C120" s="127"/>
      <c r="D120" s="28" t="s">
        <v>23</v>
      </c>
      <c r="E120" s="10">
        <v>3273060</v>
      </c>
      <c r="F120" s="10">
        <v>3273060</v>
      </c>
      <c r="G120" s="140"/>
      <c r="H120" s="176" t="s">
        <v>255</v>
      </c>
      <c r="I120" s="129" t="s">
        <v>473</v>
      </c>
      <c r="J120" s="129"/>
      <c r="K120" s="129" t="s">
        <v>47</v>
      </c>
      <c r="L120" s="152"/>
    </row>
    <row r="121" spans="1:12" ht="16.5" thickBot="1" x14ac:dyDescent="0.3">
      <c r="A121" s="150"/>
      <c r="B121" s="128"/>
      <c r="C121" s="128"/>
      <c r="D121" s="28" t="s">
        <v>34</v>
      </c>
      <c r="E121" s="10">
        <v>490959</v>
      </c>
      <c r="F121" s="10">
        <v>490959</v>
      </c>
      <c r="G121" s="141"/>
      <c r="H121" s="162"/>
      <c r="I121" s="130"/>
      <c r="J121" s="130"/>
      <c r="K121" s="130"/>
      <c r="L121" s="138"/>
    </row>
    <row r="122" spans="1:12" ht="24.75" customHeight="1" x14ac:dyDescent="0.25">
      <c r="A122" s="149" t="s">
        <v>256</v>
      </c>
      <c r="B122" s="126" t="s">
        <v>257</v>
      </c>
      <c r="C122" s="126" t="s">
        <v>18</v>
      </c>
      <c r="D122" s="32" t="s">
        <v>463</v>
      </c>
      <c r="E122" s="25">
        <f>SUM(E123:E124)</f>
        <v>239943</v>
      </c>
      <c r="F122" s="139">
        <f>SUM(F123:F124)</f>
        <v>0</v>
      </c>
      <c r="G122" s="139">
        <f>SUM(G123:G124)</f>
        <v>0</v>
      </c>
      <c r="H122" s="4" t="s">
        <v>258</v>
      </c>
      <c r="I122" s="32" t="s">
        <v>473</v>
      </c>
      <c r="J122" s="32" t="s">
        <v>48</v>
      </c>
      <c r="K122" s="32"/>
      <c r="L122" s="35"/>
    </row>
    <row r="123" spans="1:12" ht="24" customHeight="1" x14ac:dyDescent="0.25">
      <c r="A123" s="151"/>
      <c r="B123" s="127"/>
      <c r="C123" s="127"/>
      <c r="D123" s="28" t="s">
        <v>36</v>
      </c>
      <c r="E123" s="37">
        <v>35991</v>
      </c>
      <c r="F123" s="140"/>
      <c r="G123" s="140"/>
      <c r="H123" s="176" t="s">
        <v>19</v>
      </c>
      <c r="I123" s="129" t="s">
        <v>471</v>
      </c>
      <c r="J123" s="129" t="s">
        <v>96</v>
      </c>
      <c r="K123" s="129"/>
      <c r="L123" s="167"/>
    </row>
    <row r="124" spans="1:12" ht="16.5" thickBot="1" x14ac:dyDescent="0.3">
      <c r="A124" s="150"/>
      <c r="B124" s="128"/>
      <c r="C124" s="128"/>
      <c r="D124" s="28" t="s">
        <v>23</v>
      </c>
      <c r="E124" s="37">
        <v>203952</v>
      </c>
      <c r="F124" s="141"/>
      <c r="G124" s="141"/>
      <c r="H124" s="162"/>
      <c r="I124" s="130"/>
      <c r="J124" s="130"/>
      <c r="K124" s="130"/>
      <c r="L124" s="169"/>
    </row>
    <row r="125" spans="1:12" ht="63.75" thickBot="1" x14ac:dyDescent="0.3">
      <c r="A125" s="60" t="s">
        <v>259</v>
      </c>
      <c r="B125" s="19" t="s">
        <v>260</v>
      </c>
      <c r="C125" s="19" t="s">
        <v>169</v>
      </c>
      <c r="D125" s="32" t="s">
        <v>36</v>
      </c>
      <c r="E125" s="31">
        <v>80000</v>
      </c>
      <c r="F125" s="31">
        <v>0</v>
      </c>
      <c r="G125" s="31">
        <v>0</v>
      </c>
      <c r="H125" s="19" t="s">
        <v>261</v>
      </c>
      <c r="I125" s="32" t="s">
        <v>262</v>
      </c>
      <c r="J125" s="32" t="s">
        <v>181</v>
      </c>
      <c r="K125" s="32"/>
      <c r="L125" s="35"/>
    </row>
    <row r="126" spans="1:12" ht="21.75" customHeight="1" x14ac:dyDescent="0.25">
      <c r="A126" s="149" t="s">
        <v>263</v>
      </c>
      <c r="B126" s="126" t="s">
        <v>264</v>
      </c>
      <c r="C126" s="126" t="s">
        <v>18</v>
      </c>
      <c r="D126" s="32" t="s">
        <v>463</v>
      </c>
      <c r="E126" s="25">
        <f>SUM(E127:E129)</f>
        <v>7597050</v>
      </c>
      <c r="F126" s="25">
        <f>SUM(F127:F129)</f>
        <v>4923052</v>
      </c>
      <c r="G126" s="139">
        <f>SUM(G127:G129)</f>
        <v>0</v>
      </c>
      <c r="H126" s="22" t="s">
        <v>123</v>
      </c>
      <c r="I126" s="32" t="s">
        <v>472</v>
      </c>
      <c r="J126" s="32" t="s">
        <v>265</v>
      </c>
      <c r="K126" s="32" t="s">
        <v>266</v>
      </c>
      <c r="L126" s="35"/>
    </row>
    <row r="127" spans="1:12" ht="22.5" customHeight="1" x14ac:dyDescent="0.25">
      <c r="A127" s="151"/>
      <c r="B127" s="127"/>
      <c r="C127" s="127"/>
      <c r="D127" s="28" t="s">
        <v>34</v>
      </c>
      <c r="E127" s="37">
        <v>6586800</v>
      </c>
      <c r="F127" s="37">
        <v>3023075</v>
      </c>
      <c r="G127" s="140"/>
      <c r="H127" s="166" t="s">
        <v>19</v>
      </c>
      <c r="I127" s="129" t="s">
        <v>471</v>
      </c>
      <c r="J127" s="129" t="s">
        <v>75</v>
      </c>
      <c r="K127" s="129" t="s">
        <v>74</v>
      </c>
      <c r="L127" s="167"/>
    </row>
    <row r="128" spans="1:12" x14ac:dyDescent="0.25">
      <c r="A128" s="151"/>
      <c r="B128" s="127"/>
      <c r="C128" s="127"/>
      <c r="D128" s="28" t="s">
        <v>23</v>
      </c>
      <c r="E128" s="37">
        <v>974000</v>
      </c>
      <c r="F128" s="37">
        <v>1899977</v>
      </c>
      <c r="G128" s="140"/>
      <c r="H128" s="124"/>
      <c r="I128" s="135"/>
      <c r="J128" s="135"/>
      <c r="K128" s="135"/>
      <c r="L128" s="168"/>
    </row>
    <row r="129" spans="1:12" ht="26.25" customHeight="1" thickBot="1" x14ac:dyDescent="0.3">
      <c r="A129" s="150"/>
      <c r="B129" s="128"/>
      <c r="C129" s="128"/>
      <c r="D129" s="28" t="s">
        <v>36</v>
      </c>
      <c r="E129" s="37">
        <v>36250</v>
      </c>
      <c r="F129" s="37">
        <v>0</v>
      </c>
      <c r="G129" s="141"/>
      <c r="H129" s="125"/>
      <c r="I129" s="130"/>
      <c r="J129" s="130"/>
      <c r="K129" s="130"/>
      <c r="L129" s="169"/>
    </row>
    <row r="130" spans="1:12" ht="48" thickBot="1" x14ac:dyDescent="0.3">
      <c r="A130" s="60" t="s">
        <v>267</v>
      </c>
      <c r="B130" s="19" t="s">
        <v>268</v>
      </c>
      <c r="C130" s="19" t="s">
        <v>169</v>
      </c>
      <c r="D130" s="32" t="s">
        <v>36</v>
      </c>
      <c r="E130" s="48">
        <v>81400</v>
      </c>
      <c r="F130" s="48">
        <v>0</v>
      </c>
      <c r="G130" s="48">
        <v>0</v>
      </c>
      <c r="H130" s="22" t="s">
        <v>52</v>
      </c>
      <c r="I130" s="32" t="s">
        <v>473</v>
      </c>
      <c r="J130" s="32" t="s">
        <v>120</v>
      </c>
      <c r="K130" s="32"/>
      <c r="L130" s="35"/>
    </row>
    <row r="131" spans="1:12" ht="48" thickBot="1" x14ac:dyDescent="0.3">
      <c r="A131" s="60" t="s">
        <v>269</v>
      </c>
      <c r="B131" s="19" t="s">
        <v>270</v>
      </c>
      <c r="C131" s="19" t="s">
        <v>111</v>
      </c>
      <c r="D131" s="32" t="s">
        <v>36</v>
      </c>
      <c r="E131" s="48">
        <v>91050</v>
      </c>
      <c r="F131" s="48">
        <v>80000</v>
      </c>
      <c r="G131" s="48">
        <v>80000</v>
      </c>
      <c r="H131" s="22" t="s">
        <v>271</v>
      </c>
      <c r="I131" s="32" t="s">
        <v>473</v>
      </c>
      <c r="J131" s="32" t="s">
        <v>172</v>
      </c>
      <c r="K131" s="32" t="s">
        <v>172</v>
      </c>
      <c r="L131" s="35" t="s">
        <v>172</v>
      </c>
    </row>
    <row r="132" spans="1:12" ht="32.25" customHeight="1" thickBot="1" x14ac:dyDescent="0.3">
      <c r="A132" s="52" t="s">
        <v>272</v>
      </c>
      <c r="B132" s="142" t="s">
        <v>273</v>
      </c>
      <c r="C132" s="143"/>
      <c r="D132" s="144"/>
      <c r="E132" s="54">
        <f>E133+E136+E139+E142+E143+E144+E147+E148+E150</f>
        <v>28914004</v>
      </c>
      <c r="F132" s="54">
        <f>F133+F136+F139+F142+F143+F144+F147+F148+F150</f>
        <v>21330000</v>
      </c>
      <c r="G132" s="54">
        <f>G133+G136+G139+G142+G143+G144+G147+G148+G150</f>
        <v>16550000</v>
      </c>
      <c r="H132" s="110"/>
      <c r="I132" s="111"/>
      <c r="J132" s="111"/>
      <c r="K132" s="111"/>
      <c r="L132" s="112"/>
    </row>
    <row r="133" spans="1:12" ht="37.5" customHeight="1" x14ac:dyDescent="0.25">
      <c r="A133" s="149" t="s">
        <v>274</v>
      </c>
      <c r="B133" s="126" t="s">
        <v>275</v>
      </c>
      <c r="C133" s="126" t="s">
        <v>169</v>
      </c>
      <c r="D133" s="134" t="s">
        <v>36</v>
      </c>
      <c r="E133" s="146">
        <f>SUM(E134:E135)+3840000</f>
        <v>3840000</v>
      </c>
      <c r="F133" s="146">
        <f>SUM(F134:F135)+4780000</f>
        <v>4780000</v>
      </c>
      <c r="G133" s="139">
        <f>SUM(G134:G135)</f>
        <v>0</v>
      </c>
      <c r="H133" s="4" t="s">
        <v>276</v>
      </c>
      <c r="I133" s="32" t="s">
        <v>471</v>
      </c>
      <c r="J133" s="32" t="s">
        <v>33</v>
      </c>
      <c r="K133" s="32" t="s">
        <v>33</v>
      </c>
      <c r="L133" s="35" t="s">
        <v>33</v>
      </c>
    </row>
    <row r="134" spans="1:12" ht="31.5" x14ac:dyDescent="0.25">
      <c r="A134" s="151"/>
      <c r="B134" s="127"/>
      <c r="C134" s="127"/>
      <c r="D134" s="135"/>
      <c r="E134" s="147"/>
      <c r="F134" s="147"/>
      <c r="G134" s="140"/>
      <c r="H134" s="9" t="s">
        <v>277</v>
      </c>
      <c r="I134" s="28" t="s">
        <v>471</v>
      </c>
      <c r="J134" s="28" t="s">
        <v>83</v>
      </c>
      <c r="K134" s="28" t="s">
        <v>83</v>
      </c>
      <c r="L134" s="42" t="s">
        <v>83</v>
      </c>
    </row>
    <row r="135" spans="1:12" ht="48" thickBot="1" x14ac:dyDescent="0.3">
      <c r="A135" s="150"/>
      <c r="B135" s="128"/>
      <c r="C135" s="128"/>
      <c r="D135" s="130"/>
      <c r="E135" s="148"/>
      <c r="F135" s="148"/>
      <c r="G135" s="141"/>
      <c r="H135" s="9" t="s">
        <v>278</v>
      </c>
      <c r="I135" s="28" t="s">
        <v>471</v>
      </c>
      <c r="J135" s="28"/>
      <c r="K135" s="28"/>
      <c r="L135" s="42" t="s">
        <v>33</v>
      </c>
    </row>
    <row r="136" spans="1:12" ht="31.5" customHeight="1" x14ac:dyDescent="0.25">
      <c r="A136" s="149" t="s">
        <v>279</v>
      </c>
      <c r="B136" s="126" t="s">
        <v>280</v>
      </c>
      <c r="C136" s="126" t="s">
        <v>18</v>
      </c>
      <c r="D136" s="32" t="s">
        <v>463</v>
      </c>
      <c r="E136" s="25">
        <f>SUM(E137:E138)</f>
        <v>121708</v>
      </c>
      <c r="F136" s="139">
        <f>SUM(F137:F138)</f>
        <v>0</v>
      </c>
      <c r="G136" s="139">
        <f>SUM(G137:G138)</f>
        <v>0</v>
      </c>
      <c r="H136" s="4" t="s">
        <v>19</v>
      </c>
      <c r="I136" s="32" t="s">
        <v>471</v>
      </c>
      <c r="J136" s="6" t="s">
        <v>78</v>
      </c>
      <c r="K136" s="6" t="s">
        <v>96</v>
      </c>
      <c r="L136" s="7"/>
    </row>
    <row r="137" spans="1:12" x14ac:dyDescent="0.25">
      <c r="A137" s="151"/>
      <c r="B137" s="127"/>
      <c r="C137" s="127"/>
      <c r="D137" s="28" t="s">
        <v>34</v>
      </c>
      <c r="E137" s="37">
        <v>100000</v>
      </c>
      <c r="F137" s="140"/>
      <c r="G137" s="140"/>
      <c r="H137" s="176" t="s">
        <v>281</v>
      </c>
      <c r="I137" s="129" t="s">
        <v>472</v>
      </c>
      <c r="J137" s="186" t="s">
        <v>282</v>
      </c>
      <c r="K137" s="186"/>
      <c r="L137" s="152"/>
    </row>
    <row r="138" spans="1:12" ht="16.5" thickBot="1" x14ac:dyDescent="0.3">
      <c r="A138" s="150"/>
      <c r="B138" s="128"/>
      <c r="C138" s="128"/>
      <c r="D138" s="28" t="s">
        <v>23</v>
      </c>
      <c r="E138" s="37">
        <v>21708</v>
      </c>
      <c r="F138" s="141"/>
      <c r="G138" s="141"/>
      <c r="H138" s="162"/>
      <c r="I138" s="130"/>
      <c r="J138" s="172"/>
      <c r="K138" s="172"/>
      <c r="L138" s="138"/>
    </row>
    <row r="139" spans="1:12" s="77" customFormat="1" ht="31.5" x14ac:dyDescent="0.25">
      <c r="A139" s="187" t="s">
        <v>283</v>
      </c>
      <c r="B139" s="190" t="s">
        <v>284</v>
      </c>
      <c r="C139" s="190" t="s">
        <v>18</v>
      </c>
      <c r="D139" s="57" t="s">
        <v>463</v>
      </c>
      <c r="E139" s="82">
        <f>SUM(E140:E141)</f>
        <v>1700000</v>
      </c>
      <c r="F139" s="193">
        <f>SUM(F140:F141)</f>
        <v>0</v>
      </c>
      <c r="G139" s="193">
        <f>SUM(G140:G141)</f>
        <v>0</v>
      </c>
      <c r="H139" s="76" t="s">
        <v>19</v>
      </c>
      <c r="I139" s="57" t="s">
        <v>471</v>
      </c>
      <c r="J139" s="57" t="s">
        <v>285</v>
      </c>
      <c r="K139" s="57" t="s">
        <v>285</v>
      </c>
      <c r="L139" s="64"/>
    </row>
    <row r="140" spans="1:12" x14ac:dyDescent="0.25">
      <c r="A140" s="188"/>
      <c r="B140" s="191"/>
      <c r="C140" s="191"/>
      <c r="D140" s="28" t="s">
        <v>34</v>
      </c>
      <c r="E140" s="37">
        <v>1520000</v>
      </c>
      <c r="F140" s="194"/>
      <c r="G140" s="194"/>
      <c r="H140" s="166" t="s">
        <v>286</v>
      </c>
      <c r="I140" s="129" t="s">
        <v>472</v>
      </c>
      <c r="J140" s="129" t="s">
        <v>282</v>
      </c>
      <c r="K140" s="129"/>
      <c r="L140" s="152"/>
    </row>
    <row r="141" spans="1:12" ht="16.5" thickBot="1" x14ac:dyDescent="0.3">
      <c r="A141" s="189"/>
      <c r="B141" s="192"/>
      <c r="C141" s="192"/>
      <c r="D141" s="28" t="s">
        <v>23</v>
      </c>
      <c r="E141" s="37">
        <v>180000</v>
      </c>
      <c r="F141" s="195"/>
      <c r="G141" s="195"/>
      <c r="H141" s="125"/>
      <c r="I141" s="130"/>
      <c r="J141" s="130"/>
      <c r="K141" s="130"/>
      <c r="L141" s="138"/>
    </row>
    <row r="142" spans="1:12" ht="16.5" hidden="1" thickBot="1" x14ac:dyDescent="0.3">
      <c r="A142" s="2"/>
      <c r="B142" s="3"/>
      <c r="C142" s="19"/>
      <c r="D142" s="32"/>
      <c r="E142" s="5">
        <v>0</v>
      </c>
      <c r="F142" s="5">
        <v>0</v>
      </c>
      <c r="G142" s="5">
        <v>0</v>
      </c>
      <c r="H142" s="4"/>
      <c r="I142" s="32"/>
      <c r="J142" s="6"/>
      <c r="K142" s="6"/>
      <c r="L142" s="7"/>
    </row>
    <row r="143" spans="1:12" ht="48" thickBot="1" x14ac:dyDescent="0.3">
      <c r="A143" s="30" t="s">
        <v>287</v>
      </c>
      <c r="B143" s="22" t="s">
        <v>288</v>
      </c>
      <c r="C143" s="19" t="s">
        <v>111</v>
      </c>
      <c r="D143" s="32" t="s">
        <v>36</v>
      </c>
      <c r="E143" s="48">
        <v>12319066</v>
      </c>
      <c r="F143" s="48">
        <v>12350000</v>
      </c>
      <c r="G143" s="48">
        <v>12350000</v>
      </c>
      <c r="H143" s="19" t="s">
        <v>289</v>
      </c>
      <c r="I143" s="32" t="s">
        <v>58</v>
      </c>
      <c r="J143" s="83">
        <v>12319066</v>
      </c>
      <c r="K143" s="83">
        <v>12350000</v>
      </c>
      <c r="L143" s="84">
        <v>12350000</v>
      </c>
    </row>
    <row r="144" spans="1:12" ht="34.5" customHeight="1" x14ac:dyDescent="0.25">
      <c r="A144" s="149" t="s">
        <v>290</v>
      </c>
      <c r="B144" s="126" t="s">
        <v>291</v>
      </c>
      <c r="C144" s="126" t="s">
        <v>18</v>
      </c>
      <c r="D144" s="32" t="s">
        <v>463</v>
      </c>
      <c r="E144" s="25">
        <f>SUM(E145:E146)</f>
        <v>7924500</v>
      </c>
      <c r="F144" s="139">
        <f>SUM(F145:F146)</f>
        <v>0</v>
      </c>
      <c r="G144" s="139">
        <f>SUM(G145:G146)</f>
        <v>0</v>
      </c>
      <c r="H144" s="22" t="s">
        <v>19</v>
      </c>
      <c r="I144" s="32" t="s">
        <v>471</v>
      </c>
      <c r="J144" s="32" t="s">
        <v>96</v>
      </c>
      <c r="K144" s="32" t="s">
        <v>96</v>
      </c>
      <c r="L144" s="7"/>
    </row>
    <row r="145" spans="1:12" ht="24.75" customHeight="1" x14ac:dyDescent="0.25">
      <c r="A145" s="151"/>
      <c r="B145" s="127"/>
      <c r="C145" s="127"/>
      <c r="D145" s="28" t="s">
        <v>36</v>
      </c>
      <c r="E145" s="37">
        <v>1188675</v>
      </c>
      <c r="F145" s="140"/>
      <c r="G145" s="140"/>
      <c r="H145" s="166" t="s">
        <v>292</v>
      </c>
      <c r="I145" s="129" t="s">
        <v>473</v>
      </c>
      <c r="J145" s="129" t="s">
        <v>130</v>
      </c>
      <c r="K145" s="129" t="s">
        <v>130</v>
      </c>
      <c r="L145" s="152"/>
    </row>
    <row r="146" spans="1:12" ht="16.5" thickBot="1" x14ac:dyDescent="0.3">
      <c r="A146" s="150"/>
      <c r="B146" s="128"/>
      <c r="C146" s="128"/>
      <c r="D146" s="28" t="s">
        <v>23</v>
      </c>
      <c r="E146" s="37">
        <v>6735825</v>
      </c>
      <c r="F146" s="141"/>
      <c r="G146" s="141"/>
      <c r="H146" s="125"/>
      <c r="I146" s="130"/>
      <c r="J146" s="130"/>
      <c r="K146" s="130"/>
      <c r="L146" s="138"/>
    </row>
    <row r="147" spans="1:12" ht="65.25" customHeight="1" thickBot="1" x14ac:dyDescent="0.3">
      <c r="A147" s="60" t="s">
        <v>293</v>
      </c>
      <c r="B147" s="19" t="s">
        <v>294</v>
      </c>
      <c r="C147" s="19" t="s">
        <v>111</v>
      </c>
      <c r="D147" s="32" t="s">
        <v>36</v>
      </c>
      <c r="E147" s="48">
        <v>2700000</v>
      </c>
      <c r="F147" s="48">
        <v>4000000</v>
      </c>
      <c r="G147" s="48">
        <v>4000000</v>
      </c>
      <c r="H147" s="19" t="s">
        <v>295</v>
      </c>
      <c r="I147" s="32" t="s">
        <v>471</v>
      </c>
      <c r="J147" s="32">
        <v>0</v>
      </c>
      <c r="K147" s="32">
        <v>0</v>
      </c>
      <c r="L147" s="35">
        <v>0</v>
      </c>
    </row>
    <row r="148" spans="1:12" ht="41.25" customHeight="1" x14ac:dyDescent="0.25">
      <c r="A148" s="131" t="s">
        <v>296</v>
      </c>
      <c r="B148" s="160" t="s">
        <v>297</v>
      </c>
      <c r="C148" s="126" t="s">
        <v>111</v>
      </c>
      <c r="D148" s="134" t="s">
        <v>36</v>
      </c>
      <c r="E148" s="146">
        <f>SUM(E149:E149)+107730</f>
        <v>107730</v>
      </c>
      <c r="F148" s="146">
        <f>SUM(F149:F149)</f>
        <v>0</v>
      </c>
      <c r="G148" s="146">
        <f>SUM(G149:G149)</f>
        <v>0</v>
      </c>
      <c r="H148" s="19" t="s">
        <v>298</v>
      </c>
      <c r="I148" s="32" t="s">
        <v>473</v>
      </c>
      <c r="J148" s="32" t="s">
        <v>48</v>
      </c>
      <c r="K148" s="32"/>
      <c r="L148" s="35"/>
    </row>
    <row r="149" spans="1:12" ht="36" customHeight="1" thickBot="1" x14ac:dyDescent="0.3">
      <c r="A149" s="133"/>
      <c r="B149" s="162"/>
      <c r="C149" s="128"/>
      <c r="D149" s="130"/>
      <c r="E149" s="148"/>
      <c r="F149" s="148"/>
      <c r="G149" s="148"/>
      <c r="H149" s="9" t="s">
        <v>299</v>
      </c>
      <c r="I149" s="28" t="s">
        <v>473</v>
      </c>
      <c r="J149" s="65">
        <v>5</v>
      </c>
      <c r="K149" s="28"/>
      <c r="L149" s="42"/>
    </row>
    <row r="150" spans="1:12" ht="48" thickBot="1" x14ac:dyDescent="0.3">
      <c r="A150" s="60" t="s">
        <v>300</v>
      </c>
      <c r="B150" s="19" t="s">
        <v>301</v>
      </c>
      <c r="C150" s="19" t="s">
        <v>111</v>
      </c>
      <c r="D150" s="32" t="s">
        <v>36</v>
      </c>
      <c r="E150" s="48">
        <v>201000</v>
      </c>
      <c r="F150" s="48">
        <v>200000</v>
      </c>
      <c r="G150" s="48">
        <v>200000</v>
      </c>
      <c r="H150" s="19" t="s">
        <v>19</v>
      </c>
      <c r="I150" s="32" t="s">
        <v>471</v>
      </c>
      <c r="J150" s="32" t="s">
        <v>15</v>
      </c>
      <c r="K150" s="32" t="s">
        <v>33</v>
      </c>
      <c r="L150" s="35" t="s">
        <v>33</v>
      </c>
    </row>
    <row r="151" spans="1:12" ht="32.25" customHeight="1" thickBot="1" x14ac:dyDescent="0.3">
      <c r="A151" s="51" t="s">
        <v>302</v>
      </c>
      <c r="B151" s="163" t="s">
        <v>303</v>
      </c>
      <c r="C151" s="164"/>
      <c r="D151" s="165"/>
      <c r="E151" s="53">
        <f>SUM(E152:E152)</f>
        <v>10944946.289999999</v>
      </c>
      <c r="F151" s="53">
        <f>SUM(F152:F152)</f>
        <v>7608514</v>
      </c>
      <c r="G151" s="53">
        <f>SUM(G152:G152)</f>
        <v>2200000</v>
      </c>
      <c r="H151" s="107"/>
      <c r="I151" s="108"/>
      <c r="J151" s="108"/>
      <c r="K151" s="108"/>
      <c r="L151" s="109"/>
    </row>
    <row r="152" spans="1:12" ht="48" customHeight="1" thickBot="1" x14ac:dyDescent="0.3">
      <c r="A152" s="52" t="s">
        <v>304</v>
      </c>
      <c r="B152" s="142" t="s">
        <v>305</v>
      </c>
      <c r="C152" s="143"/>
      <c r="D152" s="144"/>
      <c r="E152" s="54">
        <f>E153+E155+E158+E161+E162+E164</f>
        <v>10944946.289999999</v>
      </c>
      <c r="F152" s="54">
        <f>F153+F155+F158+F161+F162+F164</f>
        <v>7608514</v>
      </c>
      <c r="G152" s="54">
        <f>G153+G155+G158+G161+G162+G164</f>
        <v>2200000</v>
      </c>
      <c r="H152" s="110"/>
      <c r="I152" s="111"/>
      <c r="J152" s="111"/>
      <c r="K152" s="111"/>
      <c r="L152" s="112"/>
    </row>
    <row r="153" spans="1:12" ht="36" customHeight="1" x14ac:dyDescent="0.25">
      <c r="A153" s="149" t="s">
        <v>306</v>
      </c>
      <c r="B153" s="126" t="s">
        <v>307</v>
      </c>
      <c r="C153" s="126" t="s">
        <v>308</v>
      </c>
      <c r="D153" s="134" t="s">
        <v>36</v>
      </c>
      <c r="E153" s="146">
        <f>SUM(E154:E154)+608000</f>
        <v>608000</v>
      </c>
      <c r="F153" s="146">
        <f>SUM(F154:F154)+624000</f>
        <v>624000</v>
      </c>
      <c r="G153" s="146">
        <f>SUM(G154:G154)+624000</f>
        <v>624000</v>
      </c>
      <c r="H153" s="4" t="s">
        <v>478</v>
      </c>
      <c r="I153" s="32" t="s">
        <v>471</v>
      </c>
      <c r="J153" s="32" t="s">
        <v>96</v>
      </c>
      <c r="K153" s="32" t="s">
        <v>96</v>
      </c>
      <c r="L153" s="35" t="s">
        <v>96</v>
      </c>
    </row>
    <row r="154" spans="1:12" ht="66" customHeight="1" thickBot="1" x14ac:dyDescent="0.3">
      <c r="A154" s="150"/>
      <c r="B154" s="128"/>
      <c r="C154" s="128"/>
      <c r="D154" s="130"/>
      <c r="E154" s="148"/>
      <c r="F154" s="148"/>
      <c r="G154" s="148"/>
      <c r="H154" s="9" t="s">
        <v>479</v>
      </c>
      <c r="I154" s="28" t="s">
        <v>471</v>
      </c>
      <c r="J154" s="28" t="s">
        <v>47</v>
      </c>
      <c r="K154" s="28" t="s">
        <v>47</v>
      </c>
      <c r="L154" s="42" t="s">
        <v>47</v>
      </c>
    </row>
    <row r="155" spans="1:12" ht="21" customHeight="1" x14ac:dyDescent="0.25">
      <c r="A155" s="149" t="s">
        <v>309</v>
      </c>
      <c r="B155" s="126" t="s">
        <v>310</v>
      </c>
      <c r="C155" s="126" t="s">
        <v>18</v>
      </c>
      <c r="D155" s="32" t="s">
        <v>463</v>
      </c>
      <c r="E155" s="25">
        <f>SUM(E156:E157)</f>
        <v>303101.28999999998</v>
      </c>
      <c r="F155" s="139">
        <f>SUM(F156:F157)</f>
        <v>0</v>
      </c>
      <c r="G155" s="139">
        <f>SUM(G156:G157)</f>
        <v>0</v>
      </c>
      <c r="H155" s="126" t="s">
        <v>19</v>
      </c>
      <c r="I155" s="134" t="s">
        <v>471</v>
      </c>
      <c r="J155" s="134" t="s">
        <v>64</v>
      </c>
      <c r="K155" s="134" t="s">
        <v>311</v>
      </c>
      <c r="L155" s="183"/>
    </row>
    <row r="156" spans="1:12" x14ac:dyDescent="0.25">
      <c r="A156" s="151"/>
      <c r="B156" s="127"/>
      <c r="C156" s="127"/>
      <c r="D156" s="28" t="s">
        <v>34</v>
      </c>
      <c r="E156" s="37">
        <v>45466.89</v>
      </c>
      <c r="F156" s="140"/>
      <c r="G156" s="140"/>
      <c r="H156" s="127"/>
      <c r="I156" s="135"/>
      <c r="J156" s="135"/>
      <c r="K156" s="135"/>
      <c r="L156" s="168"/>
    </row>
    <row r="157" spans="1:12" ht="16.5" thickBot="1" x14ac:dyDescent="0.3">
      <c r="A157" s="151"/>
      <c r="B157" s="127"/>
      <c r="C157" s="127"/>
      <c r="D157" s="28" t="s">
        <v>23</v>
      </c>
      <c r="E157" s="37">
        <v>257634.4</v>
      </c>
      <c r="F157" s="141"/>
      <c r="G157" s="141"/>
      <c r="H157" s="128"/>
      <c r="I157" s="130"/>
      <c r="J157" s="130"/>
      <c r="K157" s="130"/>
      <c r="L157" s="169"/>
    </row>
    <row r="158" spans="1:12" ht="31.5" x14ac:dyDescent="0.25">
      <c r="A158" s="149" t="s">
        <v>312</v>
      </c>
      <c r="B158" s="126" t="s">
        <v>313</v>
      </c>
      <c r="C158" s="126" t="s">
        <v>18</v>
      </c>
      <c r="D158" s="32" t="s">
        <v>463</v>
      </c>
      <c r="E158" s="25">
        <f>SUM(E159:E160)</f>
        <v>3414910</v>
      </c>
      <c r="F158" s="25">
        <f>SUM(F159:F160)</f>
        <v>3122825</v>
      </c>
      <c r="G158" s="139">
        <f>SUM(G159:G160)</f>
        <v>0</v>
      </c>
      <c r="H158" s="22" t="s">
        <v>314</v>
      </c>
      <c r="I158" s="32" t="s">
        <v>473</v>
      </c>
      <c r="J158" s="32" t="s">
        <v>315</v>
      </c>
      <c r="K158" s="6"/>
      <c r="L158" s="7"/>
    </row>
    <row r="159" spans="1:12" ht="22.5" customHeight="1" x14ac:dyDescent="0.25">
      <c r="A159" s="151"/>
      <c r="B159" s="127"/>
      <c r="C159" s="127"/>
      <c r="D159" s="28" t="s">
        <v>34</v>
      </c>
      <c r="E159" s="37">
        <v>1041410</v>
      </c>
      <c r="F159" s="37">
        <v>1178518</v>
      </c>
      <c r="G159" s="140"/>
      <c r="H159" s="166" t="s">
        <v>316</v>
      </c>
      <c r="I159" s="129" t="s">
        <v>471</v>
      </c>
      <c r="J159" s="129" t="s">
        <v>317</v>
      </c>
      <c r="K159" s="186"/>
      <c r="L159" s="152"/>
    </row>
    <row r="160" spans="1:12" ht="16.5" thickBot="1" x14ac:dyDescent="0.3">
      <c r="A160" s="150"/>
      <c r="B160" s="128"/>
      <c r="C160" s="128"/>
      <c r="D160" s="28" t="s">
        <v>23</v>
      </c>
      <c r="E160" s="37">
        <v>2373500</v>
      </c>
      <c r="F160" s="37">
        <v>1944307</v>
      </c>
      <c r="G160" s="141"/>
      <c r="H160" s="125"/>
      <c r="I160" s="130"/>
      <c r="J160" s="130"/>
      <c r="K160" s="172"/>
      <c r="L160" s="138"/>
    </row>
    <row r="161" spans="1:12" ht="0.75" hidden="1" customHeight="1" thickBot="1" x14ac:dyDescent="0.3">
      <c r="A161" s="2"/>
      <c r="B161" s="3"/>
      <c r="C161" s="19"/>
      <c r="D161" s="32"/>
      <c r="E161" s="5">
        <v>0</v>
      </c>
      <c r="F161" s="5">
        <v>0</v>
      </c>
      <c r="G161" s="5">
        <v>0</v>
      </c>
      <c r="H161" s="4"/>
      <c r="I161" s="32"/>
      <c r="J161" s="6"/>
      <c r="K161" s="6"/>
      <c r="L161" s="7"/>
    </row>
    <row r="162" spans="1:12" ht="47.25" x14ac:dyDescent="0.25">
      <c r="A162" s="149" t="s">
        <v>318</v>
      </c>
      <c r="B162" s="126" t="s">
        <v>319</v>
      </c>
      <c r="C162" s="126" t="s">
        <v>308</v>
      </c>
      <c r="D162" s="134" t="s">
        <v>36</v>
      </c>
      <c r="E162" s="146">
        <f>SUM(E163:E163)+1092000</f>
        <v>1092000</v>
      </c>
      <c r="F162" s="146">
        <f>SUM(F163:F163)+1185000</f>
        <v>1185000</v>
      </c>
      <c r="G162" s="146">
        <f>SUM(G163:G163)+1226000</f>
        <v>1226000</v>
      </c>
      <c r="H162" s="4" t="s">
        <v>480</v>
      </c>
      <c r="I162" s="32" t="s">
        <v>471</v>
      </c>
      <c r="J162" s="32" t="s">
        <v>78</v>
      </c>
      <c r="K162" s="32" t="s">
        <v>78</v>
      </c>
      <c r="L162" s="35" t="s">
        <v>78</v>
      </c>
    </row>
    <row r="163" spans="1:12" ht="63.75" thickBot="1" x14ac:dyDescent="0.3">
      <c r="A163" s="150"/>
      <c r="B163" s="128"/>
      <c r="C163" s="128"/>
      <c r="D163" s="130"/>
      <c r="E163" s="148"/>
      <c r="F163" s="148"/>
      <c r="G163" s="148"/>
      <c r="H163" s="9" t="s">
        <v>320</v>
      </c>
      <c r="I163" s="28" t="s">
        <v>476</v>
      </c>
      <c r="J163" s="28" t="s">
        <v>321</v>
      </c>
      <c r="K163" s="28" t="s">
        <v>322</v>
      </c>
      <c r="L163" s="42" t="s">
        <v>88</v>
      </c>
    </row>
    <row r="164" spans="1:12" ht="20.25" customHeight="1" x14ac:dyDescent="0.25">
      <c r="A164" s="149" t="s">
        <v>323</v>
      </c>
      <c r="B164" s="126" t="s">
        <v>324</v>
      </c>
      <c r="C164" s="126" t="s">
        <v>308</v>
      </c>
      <c r="D164" s="32" t="s">
        <v>463</v>
      </c>
      <c r="E164" s="25">
        <f>SUM(E165:E166)</f>
        <v>5526935</v>
      </c>
      <c r="F164" s="82">
        <f>SUM(F165:F166)</f>
        <v>2676689</v>
      </c>
      <c r="G164" s="82">
        <f>SUM(G165:G166)</f>
        <v>350000</v>
      </c>
      <c r="H164" s="196" t="s">
        <v>325</v>
      </c>
      <c r="I164" s="196" t="s">
        <v>473</v>
      </c>
      <c r="J164" s="199">
        <v>6</v>
      </c>
      <c r="K164" s="199">
        <v>2</v>
      </c>
      <c r="L164" s="202">
        <v>1</v>
      </c>
    </row>
    <row r="165" spans="1:12" x14ac:dyDescent="0.25">
      <c r="A165" s="151"/>
      <c r="B165" s="127"/>
      <c r="C165" s="127"/>
      <c r="D165" s="28" t="s">
        <v>36</v>
      </c>
      <c r="E165" s="37">
        <v>3602700</v>
      </c>
      <c r="F165" s="85">
        <v>2676689</v>
      </c>
      <c r="G165" s="85">
        <v>350000</v>
      </c>
      <c r="H165" s="197"/>
      <c r="I165" s="197"/>
      <c r="J165" s="200"/>
      <c r="K165" s="200"/>
      <c r="L165" s="203"/>
    </row>
    <row r="166" spans="1:12" ht="16.5" thickBot="1" x14ac:dyDescent="0.3">
      <c r="A166" s="150"/>
      <c r="B166" s="128"/>
      <c r="C166" s="128"/>
      <c r="D166" s="28" t="s">
        <v>34</v>
      </c>
      <c r="E166" s="37">
        <v>1924235</v>
      </c>
      <c r="F166" s="85">
        <v>0</v>
      </c>
      <c r="G166" s="85">
        <v>0</v>
      </c>
      <c r="H166" s="198"/>
      <c r="I166" s="198"/>
      <c r="J166" s="201"/>
      <c r="K166" s="201"/>
      <c r="L166" s="204"/>
    </row>
    <row r="167" spans="1:12" ht="48" customHeight="1" thickBot="1" x14ac:dyDescent="0.3">
      <c r="A167" s="49" t="s">
        <v>326</v>
      </c>
      <c r="B167" s="163" t="s">
        <v>327</v>
      </c>
      <c r="C167" s="164"/>
      <c r="D167" s="165"/>
      <c r="E167" s="53">
        <f>E168+E184</f>
        <v>21636775</v>
      </c>
      <c r="F167" s="53">
        <f>F168+F184</f>
        <v>32966644</v>
      </c>
      <c r="G167" s="53">
        <f>G168+G184</f>
        <v>19683400</v>
      </c>
      <c r="H167" s="107"/>
      <c r="I167" s="108"/>
      <c r="J167" s="108"/>
      <c r="K167" s="108"/>
      <c r="L167" s="109"/>
    </row>
    <row r="168" spans="1:12" ht="32.25" customHeight="1" thickBot="1" x14ac:dyDescent="0.3">
      <c r="A168" s="50" t="s">
        <v>328</v>
      </c>
      <c r="B168" s="142" t="s">
        <v>481</v>
      </c>
      <c r="C168" s="143"/>
      <c r="D168" s="144"/>
      <c r="E168" s="54">
        <f>E169+E170+E171+E172+E173+E174+E176+E177+E178+E180+E181</f>
        <v>1178827</v>
      </c>
      <c r="F168" s="54">
        <f>F169+F170+F171+F172+F173+F174+F176+F177+F178+F180+F181</f>
        <v>870000</v>
      </c>
      <c r="G168" s="54">
        <f>G169+G170+G171+G172+G173+G174+G176+G177+G178+G180+G181</f>
        <v>841000</v>
      </c>
      <c r="H168" s="110"/>
      <c r="I168" s="111"/>
      <c r="J168" s="111"/>
      <c r="K168" s="111"/>
      <c r="L168" s="112"/>
    </row>
    <row r="169" spans="1:12" ht="48" thickBot="1" x14ac:dyDescent="0.3">
      <c r="A169" s="60" t="s">
        <v>329</v>
      </c>
      <c r="B169" s="19" t="s">
        <v>330</v>
      </c>
      <c r="C169" s="19" t="s">
        <v>331</v>
      </c>
      <c r="D169" s="32" t="s">
        <v>36</v>
      </c>
      <c r="E169" s="48">
        <v>155136</v>
      </c>
      <c r="F169" s="48">
        <v>100000</v>
      </c>
      <c r="G169" s="48">
        <v>100000</v>
      </c>
      <c r="H169" s="22" t="s">
        <v>332</v>
      </c>
      <c r="I169" s="32" t="s">
        <v>473</v>
      </c>
      <c r="J169" s="32" t="s">
        <v>137</v>
      </c>
      <c r="K169" s="32" t="s">
        <v>20</v>
      </c>
      <c r="L169" s="35" t="s">
        <v>20</v>
      </c>
    </row>
    <row r="170" spans="1:12" ht="48" thickBot="1" x14ac:dyDescent="0.3">
      <c r="A170" s="60" t="s">
        <v>333</v>
      </c>
      <c r="B170" s="19" t="s">
        <v>334</v>
      </c>
      <c r="C170" s="19" t="s">
        <v>331</v>
      </c>
      <c r="D170" s="32" t="s">
        <v>36</v>
      </c>
      <c r="E170" s="48">
        <v>14000</v>
      </c>
      <c r="F170" s="48">
        <v>0</v>
      </c>
      <c r="G170" s="48">
        <v>0</v>
      </c>
      <c r="H170" s="22" t="s">
        <v>335</v>
      </c>
      <c r="I170" s="32" t="s">
        <v>473</v>
      </c>
      <c r="J170" s="32" t="s">
        <v>48</v>
      </c>
      <c r="K170" s="32"/>
      <c r="L170" s="35"/>
    </row>
    <row r="171" spans="1:12" ht="48" thickBot="1" x14ac:dyDescent="0.3">
      <c r="A171" s="60" t="s">
        <v>336</v>
      </c>
      <c r="B171" s="19" t="s">
        <v>483</v>
      </c>
      <c r="C171" s="19" t="s">
        <v>331</v>
      </c>
      <c r="D171" s="32" t="s">
        <v>36</v>
      </c>
      <c r="E171" s="48">
        <v>30000</v>
      </c>
      <c r="F171" s="48">
        <v>30000</v>
      </c>
      <c r="G171" s="48">
        <v>30000</v>
      </c>
      <c r="H171" s="22" t="s">
        <v>482</v>
      </c>
      <c r="I171" s="32" t="s">
        <v>473</v>
      </c>
      <c r="J171" s="32" t="s">
        <v>47</v>
      </c>
      <c r="K171" s="32" t="s">
        <v>48</v>
      </c>
      <c r="L171" s="35" t="s">
        <v>48</v>
      </c>
    </row>
    <row r="172" spans="1:12" ht="82.5" customHeight="1" thickBot="1" x14ac:dyDescent="0.3">
      <c r="A172" s="60" t="s">
        <v>337</v>
      </c>
      <c r="B172" s="19" t="s">
        <v>484</v>
      </c>
      <c r="C172" s="19" t="s">
        <v>12</v>
      </c>
      <c r="D172" s="32" t="s">
        <v>36</v>
      </c>
      <c r="E172" s="48">
        <v>221691</v>
      </c>
      <c r="F172" s="48">
        <v>100000</v>
      </c>
      <c r="G172" s="48">
        <v>100000</v>
      </c>
      <c r="H172" s="22" t="s">
        <v>338</v>
      </c>
      <c r="I172" s="32" t="s">
        <v>471</v>
      </c>
      <c r="J172" s="32" t="s">
        <v>83</v>
      </c>
      <c r="K172" s="32" t="s">
        <v>83</v>
      </c>
      <c r="L172" s="35" t="s">
        <v>83</v>
      </c>
    </row>
    <row r="173" spans="1:12" ht="126.75" thickBot="1" x14ac:dyDescent="0.3">
      <c r="A173" s="60" t="s">
        <v>339</v>
      </c>
      <c r="B173" s="19" t="s">
        <v>340</v>
      </c>
      <c r="C173" s="19" t="s">
        <v>12</v>
      </c>
      <c r="D173" s="32" t="s">
        <v>36</v>
      </c>
      <c r="E173" s="48">
        <v>10000</v>
      </c>
      <c r="F173" s="48">
        <v>10000</v>
      </c>
      <c r="G173" s="48">
        <v>10000</v>
      </c>
      <c r="H173" s="22" t="s">
        <v>338</v>
      </c>
      <c r="I173" s="32" t="s">
        <v>471</v>
      </c>
      <c r="J173" s="32" t="s">
        <v>33</v>
      </c>
      <c r="K173" s="32" t="s">
        <v>33</v>
      </c>
      <c r="L173" s="35" t="s">
        <v>33</v>
      </c>
    </row>
    <row r="174" spans="1:12" ht="34.5" customHeight="1" x14ac:dyDescent="0.25">
      <c r="A174" s="149" t="s">
        <v>341</v>
      </c>
      <c r="B174" s="126" t="s">
        <v>342</v>
      </c>
      <c r="C174" s="126" t="s">
        <v>331</v>
      </c>
      <c r="D174" s="134" t="s">
        <v>36</v>
      </c>
      <c r="E174" s="146">
        <f>SUM(E175:E175)+95000</f>
        <v>95000</v>
      </c>
      <c r="F174" s="146">
        <f>SUM(F175:F175)+40000</f>
        <v>40000</v>
      </c>
      <c r="G174" s="146">
        <f>SUM(G175:G175)+20000</f>
        <v>20000</v>
      </c>
      <c r="H174" s="4" t="s">
        <v>343</v>
      </c>
      <c r="I174" s="32" t="s">
        <v>473</v>
      </c>
      <c r="J174" s="32" t="s">
        <v>29</v>
      </c>
      <c r="K174" s="32" t="s">
        <v>344</v>
      </c>
      <c r="L174" s="35" t="s">
        <v>120</v>
      </c>
    </row>
    <row r="175" spans="1:12" ht="32.25" thickBot="1" x14ac:dyDescent="0.3">
      <c r="A175" s="150"/>
      <c r="B175" s="128"/>
      <c r="C175" s="128"/>
      <c r="D175" s="130"/>
      <c r="E175" s="148"/>
      <c r="F175" s="148"/>
      <c r="G175" s="148"/>
      <c r="H175" s="9" t="s">
        <v>345</v>
      </c>
      <c r="I175" s="28" t="s">
        <v>473</v>
      </c>
      <c r="J175" s="28" t="s">
        <v>140</v>
      </c>
      <c r="K175" s="28" t="s">
        <v>120</v>
      </c>
      <c r="L175" s="42" t="s">
        <v>47</v>
      </c>
    </row>
    <row r="176" spans="1:12" ht="48" thickBot="1" x14ac:dyDescent="0.3">
      <c r="A176" s="60" t="s">
        <v>346</v>
      </c>
      <c r="B176" s="19" t="s">
        <v>347</v>
      </c>
      <c r="C176" s="19" t="s">
        <v>331</v>
      </c>
      <c r="D176" s="32" t="s">
        <v>36</v>
      </c>
      <c r="E176" s="48">
        <v>102000</v>
      </c>
      <c r="F176" s="48">
        <v>40000</v>
      </c>
      <c r="G176" s="48">
        <v>20000</v>
      </c>
      <c r="H176" s="22" t="s">
        <v>348</v>
      </c>
      <c r="I176" s="32" t="s">
        <v>473</v>
      </c>
      <c r="J176" s="32" t="s">
        <v>349</v>
      </c>
      <c r="K176" s="32" t="s">
        <v>33</v>
      </c>
      <c r="L176" s="35" t="s">
        <v>33</v>
      </c>
    </row>
    <row r="177" spans="1:12" ht="48" thickBot="1" x14ac:dyDescent="0.3">
      <c r="A177" s="60" t="s">
        <v>350</v>
      </c>
      <c r="B177" s="19" t="s">
        <v>351</v>
      </c>
      <c r="C177" s="19" t="s">
        <v>331</v>
      </c>
      <c r="D177" s="32" t="s">
        <v>36</v>
      </c>
      <c r="E177" s="48">
        <v>65000</v>
      </c>
      <c r="F177" s="48">
        <v>100000</v>
      </c>
      <c r="G177" s="48">
        <v>100000</v>
      </c>
      <c r="H177" s="22" t="s">
        <v>352</v>
      </c>
      <c r="I177" s="32" t="s">
        <v>473</v>
      </c>
      <c r="J177" s="32" t="s">
        <v>165</v>
      </c>
      <c r="K177" s="32" t="s">
        <v>78</v>
      </c>
      <c r="L177" s="35" t="s">
        <v>78</v>
      </c>
    </row>
    <row r="178" spans="1:12" ht="47.25" x14ac:dyDescent="0.25">
      <c r="A178" s="149" t="s">
        <v>353</v>
      </c>
      <c r="B178" s="126" t="s">
        <v>354</v>
      </c>
      <c r="C178" s="126" t="s">
        <v>331</v>
      </c>
      <c r="D178" s="134" t="s">
        <v>36</v>
      </c>
      <c r="E178" s="146">
        <f>SUM(E179:E179)+150000</f>
        <v>150000</v>
      </c>
      <c r="F178" s="146">
        <f>SUM(F179:F179)+200000</f>
        <v>200000</v>
      </c>
      <c r="G178" s="146">
        <f>SUM(G179:G179)+200000</f>
        <v>200000</v>
      </c>
      <c r="H178" s="22" t="s">
        <v>355</v>
      </c>
      <c r="I178" s="32" t="s">
        <v>473</v>
      </c>
      <c r="J178" s="32" t="s">
        <v>356</v>
      </c>
      <c r="K178" s="32" t="s">
        <v>242</v>
      </c>
      <c r="L178" s="35" t="s">
        <v>242</v>
      </c>
    </row>
    <row r="179" spans="1:12" ht="32.25" thickBot="1" x14ac:dyDescent="0.3">
      <c r="A179" s="150"/>
      <c r="B179" s="128"/>
      <c r="C179" s="128"/>
      <c r="D179" s="130"/>
      <c r="E179" s="148"/>
      <c r="F179" s="148"/>
      <c r="G179" s="148"/>
      <c r="H179" s="45" t="s">
        <v>357</v>
      </c>
      <c r="I179" s="28" t="s">
        <v>473</v>
      </c>
      <c r="J179" s="28" t="s">
        <v>358</v>
      </c>
      <c r="K179" s="28" t="s">
        <v>358</v>
      </c>
      <c r="L179" s="42" t="s">
        <v>358</v>
      </c>
    </row>
    <row r="180" spans="1:12" ht="48" thickBot="1" x14ac:dyDescent="0.3">
      <c r="A180" s="60" t="s">
        <v>359</v>
      </c>
      <c r="B180" s="19" t="s">
        <v>360</v>
      </c>
      <c r="C180" s="19" t="s">
        <v>331</v>
      </c>
      <c r="D180" s="32" t="s">
        <v>36</v>
      </c>
      <c r="E180" s="48">
        <v>146000</v>
      </c>
      <c r="F180" s="48">
        <v>60000</v>
      </c>
      <c r="G180" s="48">
        <v>60000</v>
      </c>
      <c r="H180" s="22" t="s">
        <v>361</v>
      </c>
      <c r="I180" s="32" t="s">
        <v>473</v>
      </c>
      <c r="J180" s="32" t="s">
        <v>140</v>
      </c>
      <c r="K180" s="32" t="s">
        <v>29</v>
      </c>
      <c r="L180" s="35" t="s">
        <v>29</v>
      </c>
    </row>
    <row r="181" spans="1:12" ht="47.25" x14ac:dyDescent="0.25">
      <c r="A181" s="149" t="s">
        <v>362</v>
      </c>
      <c r="B181" s="126" t="s">
        <v>363</v>
      </c>
      <c r="C181" s="126" t="s">
        <v>331</v>
      </c>
      <c r="D181" s="134" t="s">
        <v>36</v>
      </c>
      <c r="E181" s="146">
        <f>SUM(E182:E183)+190000</f>
        <v>190000</v>
      </c>
      <c r="F181" s="146">
        <f>SUM(F182:F183)+190000</f>
        <v>190000</v>
      </c>
      <c r="G181" s="146">
        <f>SUM(G182:G183)+201000</f>
        <v>201000</v>
      </c>
      <c r="H181" s="22" t="s">
        <v>364</v>
      </c>
      <c r="I181" s="32" t="s">
        <v>473</v>
      </c>
      <c r="J181" s="32" t="s">
        <v>20</v>
      </c>
      <c r="K181" s="32" t="s">
        <v>20</v>
      </c>
      <c r="L181" s="35" t="s">
        <v>20</v>
      </c>
    </row>
    <row r="182" spans="1:12" ht="31.5" x14ac:dyDescent="0.25">
      <c r="A182" s="151"/>
      <c r="B182" s="127"/>
      <c r="C182" s="127"/>
      <c r="D182" s="135"/>
      <c r="E182" s="147"/>
      <c r="F182" s="147"/>
      <c r="G182" s="147"/>
      <c r="H182" s="45" t="s">
        <v>365</v>
      </c>
      <c r="I182" s="28" t="s">
        <v>473</v>
      </c>
      <c r="J182" s="28" t="s">
        <v>172</v>
      </c>
      <c r="K182" s="28" t="s">
        <v>47</v>
      </c>
      <c r="L182" s="42" t="s">
        <v>47</v>
      </c>
    </row>
    <row r="183" spans="1:12" ht="16.5" thickBot="1" x14ac:dyDescent="0.3">
      <c r="A183" s="150"/>
      <c r="B183" s="128"/>
      <c r="C183" s="128"/>
      <c r="D183" s="130"/>
      <c r="E183" s="148"/>
      <c r="F183" s="148"/>
      <c r="G183" s="148"/>
      <c r="H183" s="45" t="s">
        <v>366</v>
      </c>
      <c r="I183" s="28" t="s">
        <v>473</v>
      </c>
      <c r="J183" s="28" t="s">
        <v>47</v>
      </c>
      <c r="K183" s="28" t="s">
        <v>48</v>
      </c>
      <c r="L183" s="42" t="s">
        <v>48</v>
      </c>
    </row>
    <row r="184" spans="1:12" ht="32.25" customHeight="1" thickBot="1" x14ac:dyDescent="0.3">
      <c r="A184" s="50" t="s">
        <v>367</v>
      </c>
      <c r="B184" s="142" t="s">
        <v>368</v>
      </c>
      <c r="C184" s="143"/>
      <c r="D184" s="144"/>
      <c r="E184" s="91">
        <f>E185+E189+E193+E197+E200+E201+E202+E204+E205+E206+E207+E210+E212+E214+E216+E217+E220+E223+E227+E231+E232+E238+E239+E242</f>
        <v>20457948</v>
      </c>
      <c r="F184" s="29">
        <f>F185+F189+F193+F197+F200+F201+F202+F203+F204+F205+F206+F207+F210+F212+F214+F216+F217+F220+F223+F227+F231+F232+F236+F237+F238+F239+F242</f>
        <v>32096644</v>
      </c>
      <c r="G184" s="29">
        <f>G185+G189+G193+G197+G200+G201+G202+G203+G204+G205+G206+G207+G210+G212+G214+G216+G217+G220+G223+G227+G231+G232+G236+G237+G238+G239+G242</f>
        <v>18842400</v>
      </c>
      <c r="H184" s="110"/>
      <c r="I184" s="111"/>
      <c r="J184" s="111"/>
      <c r="K184" s="111"/>
      <c r="L184" s="112"/>
    </row>
    <row r="185" spans="1:12" ht="36.75" customHeight="1" x14ac:dyDescent="0.25">
      <c r="A185" s="149" t="s">
        <v>369</v>
      </c>
      <c r="B185" s="126" t="s">
        <v>370</v>
      </c>
      <c r="C185" s="126" t="s">
        <v>18</v>
      </c>
      <c r="D185" s="32" t="s">
        <v>463</v>
      </c>
      <c r="E185" s="25">
        <f>SUM(E186:E188)</f>
        <v>2487718</v>
      </c>
      <c r="F185" s="25">
        <f>SUM(F186:F188)</f>
        <v>2487718</v>
      </c>
      <c r="G185" s="146">
        <f>SUM(G186:G188)</f>
        <v>0</v>
      </c>
      <c r="H185" s="22" t="s">
        <v>19</v>
      </c>
      <c r="I185" s="32" t="s">
        <v>471</v>
      </c>
      <c r="J185" s="32" t="s">
        <v>64</v>
      </c>
      <c r="K185" s="32" t="s">
        <v>29</v>
      </c>
      <c r="L185" s="35" t="s">
        <v>29</v>
      </c>
    </row>
    <row r="186" spans="1:12" x14ac:dyDescent="0.25">
      <c r="A186" s="151"/>
      <c r="B186" s="127"/>
      <c r="C186" s="127"/>
      <c r="D186" s="28" t="s">
        <v>34</v>
      </c>
      <c r="E186" s="37">
        <v>186579</v>
      </c>
      <c r="F186" s="37">
        <v>186579</v>
      </c>
      <c r="G186" s="147"/>
      <c r="H186" s="166" t="s">
        <v>371</v>
      </c>
      <c r="I186" s="129" t="s">
        <v>476</v>
      </c>
      <c r="J186" s="129"/>
      <c r="K186" s="129" t="s">
        <v>372</v>
      </c>
      <c r="L186" s="167"/>
    </row>
    <row r="187" spans="1:12" x14ac:dyDescent="0.25">
      <c r="A187" s="151"/>
      <c r="B187" s="127"/>
      <c r="C187" s="127"/>
      <c r="D187" s="28" t="s">
        <v>35</v>
      </c>
      <c r="E187" s="37">
        <v>186579</v>
      </c>
      <c r="F187" s="37">
        <v>186579</v>
      </c>
      <c r="G187" s="147"/>
      <c r="H187" s="124"/>
      <c r="I187" s="135"/>
      <c r="J187" s="135"/>
      <c r="K187" s="135"/>
      <c r="L187" s="168"/>
    </row>
    <row r="188" spans="1:12" ht="16.5" thickBot="1" x14ac:dyDescent="0.3">
      <c r="A188" s="150"/>
      <c r="B188" s="128"/>
      <c r="C188" s="128"/>
      <c r="D188" s="28" t="s">
        <v>23</v>
      </c>
      <c r="E188" s="37">
        <v>2114560</v>
      </c>
      <c r="F188" s="37">
        <v>2114560</v>
      </c>
      <c r="G188" s="148"/>
      <c r="H188" s="125"/>
      <c r="I188" s="130"/>
      <c r="J188" s="130"/>
      <c r="K188" s="130"/>
      <c r="L188" s="169"/>
    </row>
    <row r="189" spans="1:12" ht="30" customHeight="1" x14ac:dyDescent="0.25">
      <c r="A189" s="149" t="s">
        <v>373</v>
      </c>
      <c r="B189" s="126" t="s">
        <v>374</v>
      </c>
      <c r="C189" s="126" t="s">
        <v>18</v>
      </c>
      <c r="D189" s="32" t="s">
        <v>463</v>
      </c>
      <c r="E189" s="25">
        <f>SUM(E190:E192)</f>
        <v>544560</v>
      </c>
      <c r="F189" s="25">
        <f>SUM(F190:F192)</f>
        <v>544561</v>
      </c>
      <c r="G189" s="146">
        <f>SUM(G190:G192)</f>
        <v>0</v>
      </c>
      <c r="H189" s="22" t="s">
        <v>19</v>
      </c>
      <c r="I189" s="32" t="s">
        <v>471</v>
      </c>
      <c r="J189" s="32" t="s">
        <v>375</v>
      </c>
      <c r="K189" s="32" t="s">
        <v>96</v>
      </c>
      <c r="L189" s="34"/>
    </row>
    <row r="190" spans="1:12" x14ac:dyDescent="0.25">
      <c r="A190" s="151"/>
      <c r="B190" s="127"/>
      <c r="C190" s="127"/>
      <c r="D190" s="28" t="s">
        <v>35</v>
      </c>
      <c r="E190" s="37">
        <v>35146</v>
      </c>
      <c r="F190" s="37">
        <v>35146</v>
      </c>
      <c r="G190" s="147"/>
      <c r="H190" s="166" t="s">
        <v>371</v>
      </c>
      <c r="I190" s="129" t="s">
        <v>476</v>
      </c>
      <c r="J190" s="129" t="s">
        <v>322</v>
      </c>
      <c r="K190" s="129" t="s">
        <v>356</v>
      </c>
      <c r="L190" s="167"/>
    </row>
    <row r="191" spans="1:12" x14ac:dyDescent="0.25">
      <c r="A191" s="151"/>
      <c r="B191" s="127"/>
      <c r="C191" s="127"/>
      <c r="D191" s="28" t="s">
        <v>23</v>
      </c>
      <c r="E191" s="37">
        <v>433468</v>
      </c>
      <c r="F191" s="37">
        <v>433468</v>
      </c>
      <c r="G191" s="147"/>
      <c r="H191" s="124"/>
      <c r="I191" s="135"/>
      <c r="J191" s="135"/>
      <c r="K191" s="135"/>
      <c r="L191" s="168"/>
    </row>
    <row r="192" spans="1:12" ht="16.5" thickBot="1" x14ac:dyDescent="0.3">
      <c r="A192" s="150"/>
      <c r="B192" s="128"/>
      <c r="C192" s="128"/>
      <c r="D192" s="28" t="s">
        <v>34</v>
      </c>
      <c r="E192" s="37">
        <v>75946</v>
      </c>
      <c r="F192" s="37">
        <v>75947</v>
      </c>
      <c r="G192" s="148"/>
      <c r="H192" s="125"/>
      <c r="I192" s="130"/>
      <c r="J192" s="130"/>
      <c r="K192" s="130"/>
      <c r="L192" s="169"/>
    </row>
    <row r="193" spans="1:12" ht="36.75" customHeight="1" x14ac:dyDescent="0.25">
      <c r="A193" s="149" t="s">
        <v>376</v>
      </c>
      <c r="B193" s="126" t="s">
        <v>377</v>
      </c>
      <c r="C193" s="126" t="s">
        <v>18</v>
      </c>
      <c r="D193" s="32" t="s">
        <v>463</v>
      </c>
      <c r="E193" s="25">
        <f>SUM(E194:E196)</f>
        <v>186760</v>
      </c>
      <c r="F193" s="25">
        <f>SUM(F194:F196)</f>
        <v>52825</v>
      </c>
      <c r="G193" s="139">
        <f>SUM(G194:G196)</f>
        <v>0</v>
      </c>
      <c r="H193" s="22" t="s">
        <v>19</v>
      </c>
      <c r="I193" s="32" t="s">
        <v>471</v>
      </c>
      <c r="J193" s="32" t="s">
        <v>96</v>
      </c>
      <c r="K193" s="32" t="s">
        <v>83</v>
      </c>
      <c r="L193" s="35"/>
    </row>
    <row r="194" spans="1:12" x14ac:dyDescent="0.25">
      <c r="A194" s="151"/>
      <c r="B194" s="127"/>
      <c r="C194" s="127"/>
      <c r="D194" s="28" t="s">
        <v>23</v>
      </c>
      <c r="E194" s="37">
        <v>100000</v>
      </c>
      <c r="F194" s="37">
        <v>23905</v>
      </c>
      <c r="G194" s="140"/>
      <c r="H194" s="166" t="s">
        <v>371</v>
      </c>
      <c r="I194" s="129" t="s">
        <v>476</v>
      </c>
      <c r="J194" s="129" t="s">
        <v>378</v>
      </c>
      <c r="K194" s="129"/>
      <c r="L194" s="167"/>
    </row>
    <row r="195" spans="1:12" x14ac:dyDescent="0.25">
      <c r="A195" s="151"/>
      <c r="B195" s="127"/>
      <c r="C195" s="127"/>
      <c r="D195" s="28" t="s">
        <v>34</v>
      </c>
      <c r="E195" s="37">
        <v>79225</v>
      </c>
      <c r="F195" s="37">
        <v>26409</v>
      </c>
      <c r="G195" s="140"/>
      <c r="H195" s="124"/>
      <c r="I195" s="135"/>
      <c r="J195" s="135"/>
      <c r="K195" s="135"/>
      <c r="L195" s="168"/>
    </row>
    <row r="196" spans="1:12" ht="27.75" customHeight="1" thickBot="1" x14ac:dyDescent="0.3">
      <c r="A196" s="150"/>
      <c r="B196" s="128"/>
      <c r="C196" s="128"/>
      <c r="D196" s="28" t="s">
        <v>35</v>
      </c>
      <c r="E196" s="37">
        <v>7535</v>
      </c>
      <c r="F196" s="37">
        <v>2511</v>
      </c>
      <c r="G196" s="141"/>
      <c r="H196" s="125"/>
      <c r="I196" s="130"/>
      <c r="J196" s="130"/>
      <c r="K196" s="130"/>
      <c r="L196" s="169"/>
    </row>
    <row r="197" spans="1:12" ht="32.25" customHeight="1" x14ac:dyDescent="0.25">
      <c r="A197" s="149" t="s">
        <v>379</v>
      </c>
      <c r="B197" s="126" t="s">
        <v>380</v>
      </c>
      <c r="C197" s="126" t="s">
        <v>18</v>
      </c>
      <c r="D197" s="32" t="s">
        <v>463</v>
      </c>
      <c r="E197" s="25">
        <f>SUM(E198:E199)</f>
        <v>342102</v>
      </c>
      <c r="F197" s="139">
        <f>SUM(F198:F199)</f>
        <v>0</v>
      </c>
      <c r="G197" s="139">
        <f>SUM(G198:G199)</f>
        <v>0</v>
      </c>
      <c r="H197" s="22" t="s">
        <v>371</v>
      </c>
      <c r="I197" s="32" t="s">
        <v>476</v>
      </c>
      <c r="J197" s="33" t="s">
        <v>381</v>
      </c>
      <c r="K197" s="6"/>
      <c r="L197" s="7"/>
    </row>
    <row r="198" spans="1:12" ht="20.25" customHeight="1" x14ac:dyDescent="0.25">
      <c r="A198" s="151"/>
      <c r="B198" s="127"/>
      <c r="C198" s="127"/>
      <c r="D198" s="28" t="s">
        <v>34</v>
      </c>
      <c r="E198" s="37">
        <v>84314</v>
      </c>
      <c r="F198" s="140"/>
      <c r="G198" s="140"/>
      <c r="H198" s="166" t="s">
        <v>19</v>
      </c>
      <c r="I198" s="129" t="s">
        <v>471</v>
      </c>
      <c r="J198" s="129" t="s">
        <v>64</v>
      </c>
      <c r="K198" s="186"/>
      <c r="L198" s="152"/>
    </row>
    <row r="199" spans="1:12" ht="42" customHeight="1" thickBot="1" x14ac:dyDescent="0.3">
      <c r="A199" s="150"/>
      <c r="B199" s="128"/>
      <c r="C199" s="128"/>
      <c r="D199" s="28" t="s">
        <v>23</v>
      </c>
      <c r="E199" s="37">
        <v>257788</v>
      </c>
      <c r="F199" s="141"/>
      <c r="G199" s="141"/>
      <c r="H199" s="125"/>
      <c r="I199" s="130"/>
      <c r="J199" s="130"/>
      <c r="K199" s="172"/>
      <c r="L199" s="138"/>
    </row>
    <row r="200" spans="1:12" ht="48" thickBot="1" x14ac:dyDescent="0.3">
      <c r="A200" s="30" t="s">
        <v>382</v>
      </c>
      <c r="B200" s="3" t="s">
        <v>383</v>
      </c>
      <c r="C200" s="19" t="s">
        <v>384</v>
      </c>
      <c r="D200" s="32" t="s">
        <v>36</v>
      </c>
      <c r="E200" s="48">
        <v>2699148</v>
      </c>
      <c r="F200" s="48">
        <v>2699148</v>
      </c>
      <c r="G200" s="48">
        <v>2699148</v>
      </c>
      <c r="H200" s="19" t="s">
        <v>385</v>
      </c>
      <c r="I200" s="32" t="s">
        <v>473</v>
      </c>
      <c r="J200" s="71">
        <v>4</v>
      </c>
      <c r="K200" s="71">
        <v>4</v>
      </c>
      <c r="L200" s="72">
        <v>4</v>
      </c>
    </row>
    <row r="201" spans="1:12" ht="48" thickBot="1" x14ac:dyDescent="0.3">
      <c r="A201" s="30" t="s">
        <v>386</v>
      </c>
      <c r="B201" s="3" t="s">
        <v>387</v>
      </c>
      <c r="C201" s="19" t="s">
        <v>169</v>
      </c>
      <c r="D201" s="32" t="s">
        <v>36</v>
      </c>
      <c r="E201" s="48">
        <v>1500000</v>
      </c>
      <c r="F201" s="48">
        <v>2500000</v>
      </c>
      <c r="G201" s="48">
        <v>2500000</v>
      </c>
      <c r="H201" s="19" t="s">
        <v>388</v>
      </c>
      <c r="I201" s="32" t="s">
        <v>476</v>
      </c>
      <c r="J201" s="32" t="s">
        <v>389</v>
      </c>
      <c r="K201" s="32" t="s">
        <v>390</v>
      </c>
      <c r="L201" s="35" t="s">
        <v>390</v>
      </c>
    </row>
    <row r="202" spans="1:12" ht="31.5" customHeight="1" thickBot="1" x14ac:dyDescent="0.3">
      <c r="A202" s="30" t="s">
        <v>391</v>
      </c>
      <c r="B202" s="22" t="s">
        <v>392</v>
      </c>
      <c r="C202" s="19" t="s">
        <v>169</v>
      </c>
      <c r="D202" s="32" t="s">
        <v>36</v>
      </c>
      <c r="E202" s="48">
        <v>2000000</v>
      </c>
      <c r="F202" s="48">
        <v>2230000</v>
      </c>
      <c r="G202" s="48">
        <v>2230000</v>
      </c>
      <c r="H202" s="19" t="s">
        <v>393</v>
      </c>
      <c r="I202" s="32" t="s">
        <v>471</v>
      </c>
      <c r="J202" s="32" t="s">
        <v>245</v>
      </c>
      <c r="K202" s="32" t="s">
        <v>245</v>
      </c>
      <c r="L202" s="35" t="s">
        <v>245</v>
      </c>
    </row>
    <row r="203" spans="1:12" ht="0.75" customHeight="1" thickBot="1" x14ac:dyDescent="0.3">
      <c r="A203" s="78"/>
      <c r="B203" s="63"/>
      <c r="C203" s="79"/>
      <c r="D203" s="57"/>
      <c r="E203" s="75"/>
      <c r="F203" s="75"/>
      <c r="G203" s="75"/>
      <c r="H203" s="79"/>
      <c r="I203" s="57"/>
      <c r="J203" s="57"/>
      <c r="K203" s="57"/>
      <c r="L203" s="58"/>
    </row>
    <row r="204" spans="1:12" ht="32.25" thickBot="1" x14ac:dyDescent="0.3">
      <c r="A204" s="30" t="s">
        <v>395</v>
      </c>
      <c r="B204" s="3" t="s">
        <v>396</v>
      </c>
      <c r="C204" s="19" t="s">
        <v>169</v>
      </c>
      <c r="D204" s="32" t="s">
        <v>36</v>
      </c>
      <c r="E204" s="48">
        <v>830000</v>
      </c>
      <c r="F204" s="48">
        <v>1435000</v>
      </c>
      <c r="G204" s="48">
        <v>1540000</v>
      </c>
      <c r="H204" s="19" t="s">
        <v>397</v>
      </c>
      <c r="I204" s="32" t="s">
        <v>471</v>
      </c>
      <c r="J204" s="32" t="s">
        <v>78</v>
      </c>
      <c r="K204" s="32" t="s">
        <v>78</v>
      </c>
      <c r="L204" s="35" t="s">
        <v>78</v>
      </c>
    </row>
    <row r="205" spans="1:12" ht="48" thickBot="1" x14ac:dyDescent="0.3">
      <c r="A205" s="30" t="s">
        <v>398</v>
      </c>
      <c r="B205" s="3" t="s">
        <v>399</v>
      </c>
      <c r="C205" s="19" t="s">
        <v>308</v>
      </c>
      <c r="D205" s="32" t="s">
        <v>36</v>
      </c>
      <c r="E205" s="48">
        <v>95000</v>
      </c>
      <c r="F205" s="48">
        <v>95000</v>
      </c>
      <c r="G205" s="48">
        <v>95000</v>
      </c>
      <c r="H205" s="19" t="s">
        <v>400</v>
      </c>
      <c r="I205" s="32" t="s">
        <v>471</v>
      </c>
      <c r="J205" s="32" t="s">
        <v>79</v>
      </c>
      <c r="K205" s="32"/>
      <c r="L205" s="35"/>
    </row>
    <row r="206" spans="1:12" ht="48" thickBot="1" x14ac:dyDescent="0.3">
      <c r="A206" s="30" t="s">
        <v>401</v>
      </c>
      <c r="B206" s="3" t="s">
        <v>402</v>
      </c>
      <c r="C206" s="19" t="s">
        <v>169</v>
      </c>
      <c r="D206" s="32" t="s">
        <v>36</v>
      </c>
      <c r="E206" s="48">
        <v>80000</v>
      </c>
      <c r="F206" s="48">
        <v>1582952</v>
      </c>
      <c r="G206" s="48">
        <v>62952</v>
      </c>
      <c r="H206" s="19" t="s">
        <v>403</v>
      </c>
      <c r="I206" s="32" t="s">
        <v>473</v>
      </c>
      <c r="J206" s="32" t="s">
        <v>174</v>
      </c>
      <c r="K206" s="32" t="s">
        <v>174</v>
      </c>
      <c r="L206" s="35" t="s">
        <v>174</v>
      </c>
    </row>
    <row r="207" spans="1:12" ht="32.25" customHeight="1" x14ac:dyDescent="0.25">
      <c r="A207" s="149" t="s">
        <v>404</v>
      </c>
      <c r="B207" s="126" t="s">
        <v>405</v>
      </c>
      <c r="C207" s="126" t="s">
        <v>169</v>
      </c>
      <c r="D207" s="134" t="s">
        <v>36</v>
      </c>
      <c r="E207" s="146">
        <f>SUM(E208:E209)+800000</f>
        <v>800000</v>
      </c>
      <c r="F207" s="146">
        <f>SUM(F208:F209)+1220000</f>
        <v>1220000</v>
      </c>
      <c r="G207" s="146">
        <f>SUM(G208:G209)+1220000</f>
        <v>1220000</v>
      </c>
      <c r="H207" s="19" t="s">
        <v>403</v>
      </c>
      <c r="I207" s="32" t="s">
        <v>473</v>
      </c>
      <c r="J207" s="32" t="s">
        <v>130</v>
      </c>
      <c r="K207" s="32" t="s">
        <v>130</v>
      </c>
      <c r="L207" s="35" t="s">
        <v>130</v>
      </c>
    </row>
    <row r="208" spans="1:12" ht="30" customHeight="1" x14ac:dyDescent="0.25">
      <c r="A208" s="151"/>
      <c r="B208" s="127"/>
      <c r="C208" s="127"/>
      <c r="D208" s="135"/>
      <c r="E208" s="147"/>
      <c r="F208" s="147"/>
      <c r="G208" s="147"/>
      <c r="H208" s="27" t="s">
        <v>406</v>
      </c>
      <c r="I208" s="28" t="s">
        <v>473</v>
      </c>
      <c r="J208" s="28" t="s">
        <v>64</v>
      </c>
      <c r="K208" s="28" t="s">
        <v>64</v>
      </c>
      <c r="L208" s="42" t="s">
        <v>64</v>
      </c>
    </row>
    <row r="209" spans="1:12" ht="32.25" thickBot="1" x14ac:dyDescent="0.3">
      <c r="A209" s="150"/>
      <c r="B209" s="128"/>
      <c r="C209" s="128"/>
      <c r="D209" s="130"/>
      <c r="E209" s="148"/>
      <c r="F209" s="148"/>
      <c r="G209" s="148"/>
      <c r="H209" s="27" t="s">
        <v>407</v>
      </c>
      <c r="I209" s="28" t="s">
        <v>471</v>
      </c>
      <c r="J209" s="28" t="s">
        <v>33</v>
      </c>
      <c r="K209" s="28" t="s">
        <v>33</v>
      </c>
      <c r="L209" s="42" t="s">
        <v>33</v>
      </c>
    </row>
    <row r="210" spans="1:12" ht="31.5" x14ac:dyDescent="0.25">
      <c r="A210" s="149" t="s">
        <v>408</v>
      </c>
      <c r="B210" s="126" t="s">
        <v>409</v>
      </c>
      <c r="C210" s="126" t="s">
        <v>169</v>
      </c>
      <c r="D210" s="134" t="s">
        <v>36</v>
      </c>
      <c r="E210" s="146">
        <f>SUM(E211:E211)+500000</f>
        <v>500000</v>
      </c>
      <c r="F210" s="146">
        <f>SUM(F211:F211)+700000</f>
        <v>700000</v>
      </c>
      <c r="G210" s="146">
        <f>SUM(G211:G211)+1500000</f>
        <v>1500000</v>
      </c>
      <c r="H210" s="19" t="s">
        <v>410</v>
      </c>
      <c r="I210" s="32" t="s">
        <v>476</v>
      </c>
      <c r="J210" s="86">
        <v>3314199</v>
      </c>
      <c r="K210" s="86">
        <v>3314199</v>
      </c>
      <c r="L210" s="87">
        <v>3314199</v>
      </c>
    </row>
    <row r="211" spans="1:12" ht="32.25" thickBot="1" x14ac:dyDescent="0.3">
      <c r="A211" s="150"/>
      <c r="B211" s="128"/>
      <c r="C211" s="128"/>
      <c r="D211" s="130"/>
      <c r="E211" s="148"/>
      <c r="F211" s="148"/>
      <c r="G211" s="148"/>
      <c r="H211" s="27" t="s">
        <v>411</v>
      </c>
      <c r="I211" s="28" t="s">
        <v>394</v>
      </c>
      <c r="J211" s="40" t="s">
        <v>412</v>
      </c>
      <c r="K211" s="40" t="s">
        <v>413</v>
      </c>
      <c r="L211" s="41" t="s">
        <v>414</v>
      </c>
    </row>
    <row r="212" spans="1:12" s="88" customFormat="1" ht="24" customHeight="1" x14ac:dyDescent="0.25">
      <c r="A212" s="149" t="s">
        <v>415</v>
      </c>
      <c r="B212" s="126" t="s">
        <v>416</v>
      </c>
      <c r="C212" s="126" t="s">
        <v>169</v>
      </c>
      <c r="D212" s="134" t="s">
        <v>36</v>
      </c>
      <c r="E212" s="146">
        <f>SUM(E213:E213)+205000</f>
        <v>205000</v>
      </c>
      <c r="F212" s="146">
        <f>SUM(F213:F213)+245000</f>
        <v>245000</v>
      </c>
      <c r="G212" s="146">
        <f>SUM(G213:G213)+240000</f>
        <v>240000</v>
      </c>
      <c r="H212" s="19" t="s">
        <v>417</v>
      </c>
      <c r="I212" s="32" t="s">
        <v>473</v>
      </c>
      <c r="J212" s="32" t="s">
        <v>418</v>
      </c>
      <c r="K212" s="32" t="s">
        <v>418</v>
      </c>
      <c r="L212" s="35" t="s">
        <v>418</v>
      </c>
    </row>
    <row r="213" spans="1:12" s="88" customFormat="1" ht="57.75" customHeight="1" thickBot="1" x14ac:dyDescent="0.3">
      <c r="A213" s="150"/>
      <c r="B213" s="128"/>
      <c r="C213" s="128"/>
      <c r="D213" s="130"/>
      <c r="E213" s="148"/>
      <c r="F213" s="148"/>
      <c r="G213" s="148"/>
      <c r="H213" s="27" t="s">
        <v>485</v>
      </c>
      <c r="I213" s="28" t="s">
        <v>58</v>
      </c>
      <c r="J213" s="28" t="s">
        <v>419</v>
      </c>
      <c r="K213" s="28" t="s">
        <v>420</v>
      </c>
      <c r="L213" s="42" t="s">
        <v>421</v>
      </c>
    </row>
    <row r="214" spans="1:12" ht="31.5" customHeight="1" x14ac:dyDescent="0.25">
      <c r="A214" s="149" t="s">
        <v>422</v>
      </c>
      <c r="B214" s="126" t="s">
        <v>423</v>
      </c>
      <c r="C214" s="126" t="s">
        <v>169</v>
      </c>
      <c r="D214" s="134" t="s">
        <v>36</v>
      </c>
      <c r="E214" s="146">
        <f>SUM(E215:E215)+362500</f>
        <v>362500</v>
      </c>
      <c r="F214" s="146">
        <f>SUM(F215:F215)+443000</f>
        <v>443000</v>
      </c>
      <c r="G214" s="146">
        <f>SUM(G215:G215)+231150</f>
        <v>231150</v>
      </c>
      <c r="H214" s="19" t="s">
        <v>424</v>
      </c>
      <c r="I214" s="32" t="s">
        <v>476</v>
      </c>
      <c r="J214" s="32" t="s">
        <v>425</v>
      </c>
      <c r="K214" s="32"/>
      <c r="L214" s="35"/>
    </row>
    <row r="215" spans="1:12" ht="34.5" customHeight="1" thickBot="1" x14ac:dyDescent="0.3">
      <c r="A215" s="150"/>
      <c r="B215" s="128"/>
      <c r="C215" s="128"/>
      <c r="D215" s="130"/>
      <c r="E215" s="148"/>
      <c r="F215" s="148"/>
      <c r="G215" s="148"/>
      <c r="H215" s="27" t="s">
        <v>193</v>
      </c>
      <c r="I215" s="28" t="s">
        <v>473</v>
      </c>
      <c r="J215" s="28" t="s">
        <v>29</v>
      </c>
      <c r="K215" s="28" t="s">
        <v>20</v>
      </c>
      <c r="L215" s="42" t="s">
        <v>172</v>
      </c>
    </row>
    <row r="216" spans="1:12" ht="63.75" customHeight="1" thickBot="1" x14ac:dyDescent="0.3">
      <c r="A216" s="2" t="s">
        <v>426</v>
      </c>
      <c r="B216" s="3" t="s">
        <v>486</v>
      </c>
      <c r="C216" s="19" t="s">
        <v>169</v>
      </c>
      <c r="D216" s="32" t="s">
        <v>36</v>
      </c>
      <c r="E216" s="48">
        <v>163000</v>
      </c>
      <c r="F216" s="48">
        <v>163000</v>
      </c>
      <c r="G216" s="48">
        <v>163000</v>
      </c>
      <c r="H216" s="19" t="s">
        <v>427</v>
      </c>
      <c r="I216" s="32" t="s">
        <v>473</v>
      </c>
      <c r="J216" s="32" t="s">
        <v>428</v>
      </c>
      <c r="K216" s="32" t="s">
        <v>242</v>
      </c>
      <c r="L216" s="35" t="s">
        <v>242</v>
      </c>
    </row>
    <row r="217" spans="1:12" ht="33.75" customHeight="1" x14ac:dyDescent="0.25">
      <c r="A217" s="149" t="s">
        <v>429</v>
      </c>
      <c r="B217" s="126" t="s">
        <v>430</v>
      </c>
      <c r="C217" s="126" t="s">
        <v>18</v>
      </c>
      <c r="D217" s="32" t="s">
        <v>463</v>
      </c>
      <c r="E217" s="25">
        <f>SUM(E218:E219)</f>
        <v>947500</v>
      </c>
      <c r="F217" s="25">
        <f>SUM(F218:F219)</f>
        <v>564000</v>
      </c>
      <c r="G217" s="139">
        <f>SUM(G218:G219)</f>
        <v>0</v>
      </c>
      <c r="H217" s="4" t="s">
        <v>19</v>
      </c>
      <c r="I217" s="32" t="s">
        <v>471</v>
      </c>
      <c r="J217" s="32" t="s">
        <v>78</v>
      </c>
      <c r="K217" s="32" t="s">
        <v>33</v>
      </c>
      <c r="L217" s="35"/>
    </row>
    <row r="218" spans="1:12" x14ac:dyDescent="0.25">
      <c r="A218" s="151"/>
      <c r="B218" s="127"/>
      <c r="C218" s="127"/>
      <c r="D218" s="28" t="s">
        <v>23</v>
      </c>
      <c r="E218" s="37">
        <v>340000</v>
      </c>
      <c r="F218" s="37">
        <v>340000</v>
      </c>
      <c r="G218" s="140"/>
      <c r="H218" s="176" t="s">
        <v>371</v>
      </c>
      <c r="I218" s="129" t="s">
        <v>476</v>
      </c>
      <c r="J218" s="129"/>
      <c r="K218" s="129" t="s">
        <v>431</v>
      </c>
      <c r="L218" s="167"/>
    </row>
    <row r="219" spans="1:12" ht="16.5" thickBot="1" x14ac:dyDescent="0.3">
      <c r="A219" s="150"/>
      <c r="B219" s="128"/>
      <c r="C219" s="128"/>
      <c r="D219" s="28" t="s">
        <v>34</v>
      </c>
      <c r="E219" s="37">
        <v>607500</v>
      </c>
      <c r="F219" s="37">
        <v>224000</v>
      </c>
      <c r="G219" s="141"/>
      <c r="H219" s="162"/>
      <c r="I219" s="130"/>
      <c r="J219" s="130"/>
      <c r="K219" s="130"/>
      <c r="L219" s="169"/>
    </row>
    <row r="220" spans="1:12" s="88" customFormat="1" ht="30" customHeight="1" x14ac:dyDescent="0.25">
      <c r="A220" s="149" t="s">
        <v>432</v>
      </c>
      <c r="B220" s="126" t="s">
        <v>433</v>
      </c>
      <c r="C220" s="126" t="s">
        <v>108</v>
      </c>
      <c r="D220" s="32" t="s">
        <v>463</v>
      </c>
      <c r="E220" s="25">
        <f>SUM(E221:E222)</f>
        <v>40000</v>
      </c>
      <c r="F220" s="25">
        <f>SUM(F221:F222)</f>
        <v>1000000</v>
      </c>
      <c r="G220" s="146">
        <f>SUM(G221:G222)</f>
        <v>0</v>
      </c>
      <c r="H220" s="126" t="s">
        <v>19</v>
      </c>
      <c r="I220" s="134" t="s">
        <v>471</v>
      </c>
      <c r="J220" s="134" t="s">
        <v>198</v>
      </c>
      <c r="K220" s="134" t="s">
        <v>83</v>
      </c>
      <c r="L220" s="183" t="s">
        <v>83</v>
      </c>
    </row>
    <row r="221" spans="1:12" s="88" customFormat="1" x14ac:dyDescent="0.25">
      <c r="A221" s="151"/>
      <c r="B221" s="127"/>
      <c r="C221" s="127"/>
      <c r="D221" s="28" t="s">
        <v>34</v>
      </c>
      <c r="E221" s="37">
        <v>0</v>
      </c>
      <c r="F221" s="37">
        <v>1000000</v>
      </c>
      <c r="G221" s="147"/>
      <c r="H221" s="127"/>
      <c r="I221" s="135"/>
      <c r="J221" s="135"/>
      <c r="K221" s="135"/>
      <c r="L221" s="168"/>
    </row>
    <row r="222" spans="1:12" s="88" customFormat="1" ht="16.5" thickBot="1" x14ac:dyDescent="0.3">
      <c r="A222" s="150"/>
      <c r="B222" s="128"/>
      <c r="C222" s="128"/>
      <c r="D222" s="28" t="s">
        <v>36</v>
      </c>
      <c r="E222" s="37">
        <v>40000</v>
      </c>
      <c r="F222" s="37">
        <v>0</v>
      </c>
      <c r="G222" s="148"/>
      <c r="H222" s="128"/>
      <c r="I222" s="130"/>
      <c r="J222" s="130"/>
      <c r="K222" s="130"/>
      <c r="L222" s="169"/>
    </row>
    <row r="223" spans="1:12" s="88" customFormat="1" ht="31.5" x14ac:dyDescent="0.25">
      <c r="A223" s="149" t="s">
        <v>434</v>
      </c>
      <c r="B223" s="126" t="s">
        <v>435</v>
      </c>
      <c r="C223" s="126" t="s">
        <v>18</v>
      </c>
      <c r="D223" s="32" t="s">
        <v>463</v>
      </c>
      <c r="E223" s="25">
        <f>SUM(E224:E226)</f>
        <v>1541291</v>
      </c>
      <c r="F223" s="25">
        <f>SUM(F224:F226)</f>
        <v>2760151</v>
      </c>
      <c r="G223" s="25">
        <f>SUM(G224:G226)</f>
        <v>698558</v>
      </c>
      <c r="H223" s="22" t="s">
        <v>19</v>
      </c>
      <c r="I223" s="32" t="s">
        <v>471</v>
      </c>
      <c r="J223" s="32" t="s">
        <v>83</v>
      </c>
      <c r="K223" s="32" t="s">
        <v>75</v>
      </c>
      <c r="L223" s="35" t="s">
        <v>29</v>
      </c>
    </row>
    <row r="224" spans="1:12" s="88" customFormat="1" x14ac:dyDescent="0.25">
      <c r="A224" s="151"/>
      <c r="B224" s="127"/>
      <c r="C224" s="127"/>
      <c r="D224" s="28" t="s">
        <v>35</v>
      </c>
      <c r="E224" s="37">
        <v>130000</v>
      </c>
      <c r="F224" s="37">
        <v>200000</v>
      </c>
      <c r="G224" s="37">
        <v>45000</v>
      </c>
      <c r="H224" s="166" t="s">
        <v>371</v>
      </c>
      <c r="I224" s="129" t="s">
        <v>476</v>
      </c>
      <c r="J224" s="129"/>
      <c r="K224" s="129" t="s">
        <v>436</v>
      </c>
      <c r="L224" s="167"/>
    </row>
    <row r="225" spans="1:12" s="88" customFormat="1" x14ac:dyDescent="0.25">
      <c r="A225" s="151"/>
      <c r="B225" s="127"/>
      <c r="C225" s="127"/>
      <c r="D225" s="28" t="s">
        <v>23</v>
      </c>
      <c r="E225" s="37">
        <v>1310000</v>
      </c>
      <c r="F225" s="37">
        <v>2300000</v>
      </c>
      <c r="G225" s="37">
        <v>640000</v>
      </c>
      <c r="H225" s="124"/>
      <c r="I225" s="135"/>
      <c r="J225" s="135"/>
      <c r="K225" s="135"/>
      <c r="L225" s="168"/>
    </row>
    <row r="226" spans="1:12" s="88" customFormat="1" ht="16.5" thickBot="1" x14ac:dyDescent="0.3">
      <c r="A226" s="150"/>
      <c r="B226" s="128"/>
      <c r="C226" s="128"/>
      <c r="D226" s="28" t="s">
        <v>34</v>
      </c>
      <c r="E226" s="37">
        <v>101291</v>
      </c>
      <c r="F226" s="37">
        <v>260151</v>
      </c>
      <c r="G226" s="37">
        <v>13558</v>
      </c>
      <c r="H226" s="125"/>
      <c r="I226" s="130"/>
      <c r="J226" s="130"/>
      <c r="K226" s="130"/>
      <c r="L226" s="169"/>
    </row>
    <row r="227" spans="1:12" ht="36.75" customHeight="1" x14ac:dyDescent="0.25">
      <c r="A227" s="184" t="s">
        <v>437</v>
      </c>
      <c r="B227" s="160" t="s">
        <v>438</v>
      </c>
      <c r="C227" s="126" t="s">
        <v>18</v>
      </c>
      <c r="D227" s="32" t="s">
        <v>463</v>
      </c>
      <c r="E227" s="24">
        <f>SUM(E228:E230)</f>
        <v>1014369</v>
      </c>
      <c r="F227" s="24">
        <f>SUM(F228:F230)</f>
        <v>3050000</v>
      </c>
      <c r="G227" s="25">
        <f>SUM(G228:G230)</f>
        <v>4442592</v>
      </c>
      <c r="H227" s="4" t="s">
        <v>19</v>
      </c>
      <c r="I227" s="32" t="s">
        <v>471</v>
      </c>
      <c r="J227" s="32" t="s">
        <v>140</v>
      </c>
      <c r="K227" s="32" t="s">
        <v>75</v>
      </c>
      <c r="L227" s="35" t="s">
        <v>439</v>
      </c>
    </row>
    <row r="228" spans="1:12" x14ac:dyDescent="0.25">
      <c r="A228" s="220"/>
      <c r="B228" s="161"/>
      <c r="C228" s="127"/>
      <c r="D228" s="28" t="s">
        <v>34</v>
      </c>
      <c r="E228" s="39">
        <v>113894</v>
      </c>
      <c r="F228" s="39">
        <v>237500</v>
      </c>
      <c r="G228" s="37">
        <v>293067</v>
      </c>
      <c r="H228" s="153" t="s">
        <v>371</v>
      </c>
      <c r="I228" s="129" t="s">
        <v>476</v>
      </c>
      <c r="J228" s="129"/>
      <c r="K228" s="129"/>
      <c r="L228" s="167" t="s">
        <v>440</v>
      </c>
    </row>
    <row r="229" spans="1:12" x14ac:dyDescent="0.25">
      <c r="A229" s="220"/>
      <c r="B229" s="161"/>
      <c r="C229" s="127"/>
      <c r="D229" s="28" t="s">
        <v>35</v>
      </c>
      <c r="E229" s="39">
        <v>100000</v>
      </c>
      <c r="F229" s="39">
        <v>220000</v>
      </c>
      <c r="G229" s="37">
        <v>317500</v>
      </c>
      <c r="H229" s="127"/>
      <c r="I229" s="135"/>
      <c r="J229" s="135"/>
      <c r="K229" s="135"/>
      <c r="L229" s="168"/>
    </row>
    <row r="230" spans="1:12" ht="16.5" thickBot="1" x14ac:dyDescent="0.3">
      <c r="A230" s="185"/>
      <c r="B230" s="162"/>
      <c r="C230" s="128"/>
      <c r="D230" s="28" t="s">
        <v>23</v>
      </c>
      <c r="E230" s="39">
        <v>800475</v>
      </c>
      <c r="F230" s="39">
        <v>2592500</v>
      </c>
      <c r="G230" s="37">
        <v>3832025</v>
      </c>
      <c r="H230" s="128"/>
      <c r="I230" s="130"/>
      <c r="J230" s="130"/>
      <c r="K230" s="130"/>
      <c r="L230" s="169"/>
    </row>
    <row r="231" spans="1:12" ht="32.25" thickBot="1" x14ac:dyDescent="0.3">
      <c r="A231" s="2" t="s">
        <v>441</v>
      </c>
      <c r="B231" s="3" t="s">
        <v>442</v>
      </c>
      <c r="C231" s="19" t="s">
        <v>169</v>
      </c>
      <c r="D231" s="32" t="s">
        <v>36</v>
      </c>
      <c r="E231" s="31">
        <v>124000</v>
      </c>
      <c r="F231" s="31">
        <v>470000</v>
      </c>
      <c r="G231" s="5">
        <v>0</v>
      </c>
      <c r="H231" s="19" t="s">
        <v>417</v>
      </c>
      <c r="I231" s="32" t="s">
        <v>473</v>
      </c>
      <c r="J231" s="32" t="s">
        <v>29</v>
      </c>
      <c r="K231" s="32" t="s">
        <v>238</v>
      </c>
      <c r="L231" s="35"/>
    </row>
    <row r="232" spans="1:12" ht="22.5" customHeight="1" x14ac:dyDescent="0.25">
      <c r="A232" s="205" t="s">
        <v>443</v>
      </c>
      <c r="B232" s="160" t="s">
        <v>444</v>
      </c>
      <c r="C232" s="126" t="s">
        <v>18</v>
      </c>
      <c r="D232" s="32" t="s">
        <v>463</v>
      </c>
      <c r="E232" s="25">
        <f>SUM(E233:E235)</f>
        <v>3775000</v>
      </c>
      <c r="F232" s="25">
        <f>SUM(F233:F235)</f>
        <v>5775000</v>
      </c>
      <c r="G232" s="139">
        <f>SUM(G233:G235)</f>
        <v>0</v>
      </c>
      <c r="H232" s="4" t="s">
        <v>371</v>
      </c>
      <c r="I232" s="32" t="s">
        <v>476</v>
      </c>
      <c r="J232" s="6"/>
      <c r="K232" s="6" t="s">
        <v>445</v>
      </c>
      <c r="L232" s="7"/>
    </row>
    <row r="233" spans="1:12" ht="20.25" customHeight="1" x14ac:dyDescent="0.25">
      <c r="A233" s="206"/>
      <c r="B233" s="161"/>
      <c r="C233" s="127"/>
      <c r="D233" s="28" t="s">
        <v>34</v>
      </c>
      <c r="E233" s="37">
        <v>2387500</v>
      </c>
      <c r="F233" s="37">
        <v>2537500</v>
      </c>
      <c r="G233" s="140"/>
      <c r="H233" s="166" t="s">
        <v>19</v>
      </c>
      <c r="I233" s="129" t="s">
        <v>471</v>
      </c>
      <c r="J233" s="129" t="s">
        <v>64</v>
      </c>
      <c r="K233" s="129" t="s">
        <v>74</v>
      </c>
      <c r="L233" s="152"/>
    </row>
    <row r="234" spans="1:12" x14ac:dyDescent="0.25">
      <c r="A234" s="206"/>
      <c r="B234" s="161"/>
      <c r="C234" s="127"/>
      <c r="D234" s="28" t="s">
        <v>35</v>
      </c>
      <c r="E234" s="37">
        <v>112500</v>
      </c>
      <c r="F234" s="37">
        <v>262500</v>
      </c>
      <c r="G234" s="140"/>
      <c r="H234" s="124"/>
      <c r="I234" s="135"/>
      <c r="J234" s="135"/>
      <c r="K234" s="135"/>
      <c r="L234" s="137"/>
    </row>
    <row r="235" spans="1:12" ht="22.5" customHeight="1" thickBot="1" x14ac:dyDescent="0.3">
      <c r="A235" s="207"/>
      <c r="B235" s="162"/>
      <c r="C235" s="128"/>
      <c r="D235" s="28" t="s">
        <v>23</v>
      </c>
      <c r="E235" s="37">
        <v>1275000</v>
      </c>
      <c r="F235" s="37">
        <v>2975000</v>
      </c>
      <c r="G235" s="141"/>
      <c r="H235" s="125"/>
      <c r="I235" s="130"/>
      <c r="J235" s="130"/>
      <c r="K235" s="130"/>
      <c r="L235" s="138"/>
    </row>
    <row r="236" spans="1:12" ht="13.5" hidden="1" customHeight="1" thickBot="1" x14ac:dyDescent="0.3">
      <c r="A236" s="62"/>
      <c r="B236" s="63"/>
      <c r="C236" s="79"/>
      <c r="D236" s="57"/>
      <c r="E236" s="5"/>
      <c r="F236" s="5"/>
      <c r="G236" s="5"/>
      <c r="H236" s="4"/>
      <c r="I236" s="32"/>
      <c r="J236" s="6"/>
      <c r="K236" s="6"/>
      <c r="L236" s="7"/>
    </row>
    <row r="237" spans="1:12" ht="63.75" thickBot="1" x14ac:dyDescent="0.3">
      <c r="A237" s="78" t="s">
        <v>446</v>
      </c>
      <c r="B237" s="76" t="s">
        <v>447</v>
      </c>
      <c r="C237" s="79" t="s">
        <v>448</v>
      </c>
      <c r="D237" s="57" t="s">
        <v>36</v>
      </c>
      <c r="E237" s="213" t="s">
        <v>466</v>
      </c>
      <c r="F237" s="214"/>
      <c r="G237" s="215"/>
      <c r="H237" s="79" t="s">
        <v>449</v>
      </c>
      <c r="I237" s="57" t="s">
        <v>487</v>
      </c>
      <c r="J237" s="57" t="s">
        <v>75</v>
      </c>
      <c r="K237" s="71">
        <v>40</v>
      </c>
      <c r="L237" s="72">
        <v>40</v>
      </c>
    </row>
    <row r="238" spans="1:12" ht="53.25" customHeight="1" thickBot="1" x14ac:dyDescent="0.3">
      <c r="A238" s="61" t="s">
        <v>450</v>
      </c>
      <c r="B238" s="19" t="s">
        <v>451</v>
      </c>
      <c r="C238" s="19" t="s">
        <v>18</v>
      </c>
      <c r="D238" s="32" t="s">
        <v>36</v>
      </c>
      <c r="E238" s="48">
        <v>100000</v>
      </c>
      <c r="F238" s="48">
        <v>220000</v>
      </c>
      <c r="G238" s="48">
        <v>220000</v>
      </c>
      <c r="H238" s="19" t="s">
        <v>452</v>
      </c>
      <c r="I238" s="32" t="s">
        <v>473</v>
      </c>
      <c r="J238" s="57">
        <v>3</v>
      </c>
      <c r="K238" s="57">
        <v>6</v>
      </c>
      <c r="L238" s="58">
        <v>6</v>
      </c>
    </row>
    <row r="239" spans="1:12" ht="18.75" customHeight="1" x14ac:dyDescent="0.25">
      <c r="A239" s="149" t="s">
        <v>453</v>
      </c>
      <c r="B239" s="126" t="s">
        <v>454</v>
      </c>
      <c r="C239" s="126" t="s">
        <v>18</v>
      </c>
      <c r="D239" s="32" t="s">
        <v>463</v>
      </c>
      <c r="E239" s="25">
        <f>SUM(E240:E241)</f>
        <v>20000</v>
      </c>
      <c r="F239" s="25">
        <f>SUM(F240:F241)</f>
        <v>859289</v>
      </c>
      <c r="G239" s="146">
        <f>SUM(G240:G241)</f>
        <v>0</v>
      </c>
      <c r="H239" s="22" t="s">
        <v>455</v>
      </c>
      <c r="I239" s="32" t="s">
        <v>476</v>
      </c>
      <c r="J239" s="33"/>
      <c r="K239" s="33" t="s">
        <v>456</v>
      </c>
      <c r="L239" s="34"/>
    </row>
    <row r="240" spans="1:12" ht="24" customHeight="1" x14ac:dyDescent="0.25">
      <c r="A240" s="151"/>
      <c r="B240" s="127"/>
      <c r="C240" s="127"/>
      <c r="D240" s="28" t="s">
        <v>23</v>
      </c>
      <c r="E240" s="37">
        <v>0</v>
      </c>
      <c r="F240" s="37">
        <v>279289</v>
      </c>
      <c r="G240" s="147"/>
      <c r="H240" s="166" t="s">
        <v>19</v>
      </c>
      <c r="I240" s="129" t="s">
        <v>471</v>
      </c>
      <c r="J240" s="129" t="s">
        <v>457</v>
      </c>
      <c r="K240" s="129" t="s">
        <v>458</v>
      </c>
      <c r="L240" s="167" t="s">
        <v>458</v>
      </c>
    </row>
    <row r="241" spans="1:12" ht="16.5" thickBot="1" x14ac:dyDescent="0.3">
      <c r="A241" s="150"/>
      <c r="B241" s="128"/>
      <c r="C241" s="128"/>
      <c r="D241" s="28" t="s">
        <v>34</v>
      </c>
      <c r="E241" s="37">
        <v>20000</v>
      </c>
      <c r="F241" s="37">
        <v>580000</v>
      </c>
      <c r="G241" s="148"/>
      <c r="H241" s="125"/>
      <c r="I241" s="130"/>
      <c r="J241" s="130"/>
      <c r="K241" s="130"/>
      <c r="L241" s="169"/>
    </row>
    <row r="242" spans="1:12" ht="31.5" customHeight="1" x14ac:dyDescent="0.25">
      <c r="A242" s="149" t="s">
        <v>459</v>
      </c>
      <c r="B242" s="126" t="s">
        <v>460</v>
      </c>
      <c r="C242" s="126" t="s">
        <v>169</v>
      </c>
      <c r="D242" s="134" t="s">
        <v>36</v>
      </c>
      <c r="E242" s="146">
        <f>SUM(E243:E243)+100000</f>
        <v>100000</v>
      </c>
      <c r="F242" s="146">
        <f>SUM(F243:F243)+1000000</f>
        <v>1000000</v>
      </c>
      <c r="G242" s="146">
        <f>SUM(G243:G243)+1000000</f>
        <v>1000000</v>
      </c>
      <c r="H242" s="19" t="s">
        <v>352</v>
      </c>
      <c r="I242" s="32" t="s">
        <v>473</v>
      </c>
      <c r="J242" s="32" t="s">
        <v>106</v>
      </c>
      <c r="K242" s="6"/>
      <c r="L242" s="7"/>
    </row>
    <row r="243" spans="1:12" ht="23.25" customHeight="1" thickBot="1" x14ac:dyDescent="0.3">
      <c r="A243" s="150"/>
      <c r="B243" s="128"/>
      <c r="C243" s="128"/>
      <c r="D243" s="130"/>
      <c r="E243" s="148"/>
      <c r="F243" s="148"/>
      <c r="G243" s="148"/>
      <c r="H243" s="27" t="s">
        <v>461</v>
      </c>
      <c r="I243" s="28" t="s">
        <v>476</v>
      </c>
      <c r="J243" s="28" t="s">
        <v>462</v>
      </c>
      <c r="K243" s="11"/>
      <c r="L243" s="12"/>
    </row>
    <row r="244" spans="1:12" s="18" customFormat="1" x14ac:dyDescent="0.25">
      <c r="A244" s="13"/>
      <c r="B244" s="13"/>
      <c r="C244" s="208"/>
      <c r="D244" s="208"/>
      <c r="E244" s="208"/>
      <c r="F244" s="208"/>
      <c r="G244" s="208"/>
      <c r="H244" s="14"/>
      <c r="I244" s="36"/>
      <c r="J244" s="16"/>
      <c r="K244" s="16"/>
      <c r="L244" s="16"/>
    </row>
    <row r="245" spans="1:12" s="18" customFormat="1" x14ac:dyDescent="0.25">
      <c r="A245" s="13"/>
      <c r="B245" s="13"/>
      <c r="C245" s="94"/>
      <c r="D245" s="36"/>
      <c r="E245" s="15"/>
      <c r="F245" s="15"/>
      <c r="G245" s="15"/>
      <c r="H245" s="14"/>
      <c r="I245" s="36"/>
      <c r="J245" s="16"/>
      <c r="K245" s="16"/>
      <c r="L245" s="16"/>
    </row>
    <row r="246" spans="1:12" x14ac:dyDescent="0.25">
      <c r="A246" s="97" t="s">
        <v>493</v>
      </c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</row>
  </sheetData>
  <mergeCells count="531">
    <mergeCell ref="C244:G244"/>
    <mergeCell ref="A4:A6"/>
    <mergeCell ref="A2:L2"/>
    <mergeCell ref="E237:G237"/>
    <mergeCell ref="H4:L4"/>
    <mergeCell ref="H5:H6"/>
    <mergeCell ref="I5:I6"/>
    <mergeCell ref="E4:E6"/>
    <mergeCell ref="F4:F6"/>
    <mergeCell ref="G4:G6"/>
    <mergeCell ref="L233:L235"/>
    <mergeCell ref="A148:A149"/>
    <mergeCell ref="B148:B149"/>
    <mergeCell ref="C148:C149"/>
    <mergeCell ref="D148:D149"/>
    <mergeCell ref="E148:E149"/>
    <mergeCell ref="F148:F149"/>
    <mergeCell ref="G148:G149"/>
    <mergeCell ref="K228:K230"/>
    <mergeCell ref="L228:L230"/>
    <mergeCell ref="A227:A230"/>
    <mergeCell ref="B227:B230"/>
    <mergeCell ref="C227:C230"/>
    <mergeCell ref="H228:H230"/>
    <mergeCell ref="G242:G243"/>
    <mergeCell ref="G232:G235"/>
    <mergeCell ref="H233:H235"/>
    <mergeCell ref="I233:I235"/>
    <mergeCell ref="J233:J235"/>
    <mergeCell ref="K233:K235"/>
    <mergeCell ref="L240:L241"/>
    <mergeCell ref="A232:A235"/>
    <mergeCell ref="B232:B235"/>
    <mergeCell ref="C232:C235"/>
    <mergeCell ref="A242:A243"/>
    <mergeCell ref="B242:B243"/>
    <mergeCell ref="C242:C243"/>
    <mergeCell ref="D242:D243"/>
    <mergeCell ref="E242:E243"/>
    <mergeCell ref="F242:F243"/>
    <mergeCell ref="A239:A241"/>
    <mergeCell ref="B239:B241"/>
    <mergeCell ref="C239:C241"/>
    <mergeCell ref="G239:G241"/>
    <mergeCell ref="H240:H241"/>
    <mergeCell ref="I240:I241"/>
    <mergeCell ref="J240:J241"/>
    <mergeCell ref="K240:K241"/>
    <mergeCell ref="J228:J230"/>
    <mergeCell ref="L220:L222"/>
    <mergeCell ref="C220:C222"/>
    <mergeCell ref="A223:A226"/>
    <mergeCell ref="B223:B226"/>
    <mergeCell ref="C223:C226"/>
    <mergeCell ref="H224:H226"/>
    <mergeCell ref="I224:I226"/>
    <mergeCell ref="J224:J226"/>
    <mergeCell ref="K224:K226"/>
    <mergeCell ref="L224:L226"/>
    <mergeCell ref="I228:I230"/>
    <mergeCell ref="J218:J219"/>
    <mergeCell ref="K218:K219"/>
    <mergeCell ref="L218:L219"/>
    <mergeCell ref="A220:A222"/>
    <mergeCell ref="B220:B222"/>
    <mergeCell ref="G220:G222"/>
    <mergeCell ref="H220:H222"/>
    <mergeCell ref="I220:I222"/>
    <mergeCell ref="J220:J222"/>
    <mergeCell ref="K220:K222"/>
    <mergeCell ref="A217:A219"/>
    <mergeCell ref="B217:B219"/>
    <mergeCell ref="C217:C219"/>
    <mergeCell ref="G217:G219"/>
    <mergeCell ref="H218:H219"/>
    <mergeCell ref="I218:I219"/>
    <mergeCell ref="G212:G213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A207:A209"/>
    <mergeCell ref="B207:B209"/>
    <mergeCell ref="C207:C209"/>
    <mergeCell ref="D207:D209"/>
    <mergeCell ref="E207:E209"/>
    <mergeCell ref="F207:F209"/>
    <mergeCell ref="G207:G209"/>
    <mergeCell ref="A210:A211"/>
    <mergeCell ref="B210:B211"/>
    <mergeCell ref="C210:C211"/>
    <mergeCell ref="D210:D211"/>
    <mergeCell ref="E210:E211"/>
    <mergeCell ref="F210:F211"/>
    <mergeCell ref="G210:G211"/>
    <mergeCell ref="A185:A188"/>
    <mergeCell ref="A189:A192"/>
    <mergeCell ref="B189:B192"/>
    <mergeCell ref="G189:G192"/>
    <mergeCell ref="G185:G188"/>
    <mergeCell ref="J194:J196"/>
    <mergeCell ref="K194:K196"/>
    <mergeCell ref="L194:L196"/>
    <mergeCell ref="A197:A199"/>
    <mergeCell ref="B197:B199"/>
    <mergeCell ref="C197:C199"/>
    <mergeCell ref="F197:F199"/>
    <mergeCell ref="G197:G199"/>
    <mergeCell ref="H198:H199"/>
    <mergeCell ref="A193:A196"/>
    <mergeCell ref="B193:B196"/>
    <mergeCell ref="C193:C196"/>
    <mergeCell ref="G193:G196"/>
    <mergeCell ref="H194:H196"/>
    <mergeCell ref="I194:I196"/>
    <mergeCell ref="J198:J199"/>
    <mergeCell ref="K198:K199"/>
    <mergeCell ref="L198:L199"/>
    <mergeCell ref="I198:I199"/>
    <mergeCell ref="H184:L184"/>
    <mergeCell ref="B184:D184"/>
    <mergeCell ref="H186:H188"/>
    <mergeCell ref="I186:I188"/>
    <mergeCell ref="J186:J188"/>
    <mergeCell ref="K186:K188"/>
    <mergeCell ref="L186:L188"/>
    <mergeCell ref="C185:C188"/>
    <mergeCell ref="H190:H192"/>
    <mergeCell ref="I190:I192"/>
    <mergeCell ref="J190:J192"/>
    <mergeCell ref="K190:K192"/>
    <mergeCell ref="L190:L192"/>
    <mergeCell ref="C189:C192"/>
    <mergeCell ref="B185:B188"/>
    <mergeCell ref="A181:A183"/>
    <mergeCell ref="B181:B183"/>
    <mergeCell ref="C181:C183"/>
    <mergeCell ref="D181:D183"/>
    <mergeCell ref="E181:E183"/>
    <mergeCell ref="F181:F183"/>
    <mergeCell ref="G174:G175"/>
    <mergeCell ref="A178:A179"/>
    <mergeCell ref="B178:B179"/>
    <mergeCell ref="C178:C179"/>
    <mergeCell ref="D178:D179"/>
    <mergeCell ref="E178:E179"/>
    <mergeCell ref="F178:F179"/>
    <mergeCell ref="G178:G179"/>
    <mergeCell ref="A174:A175"/>
    <mergeCell ref="B174:B175"/>
    <mergeCell ref="C174:C175"/>
    <mergeCell ref="D174:D175"/>
    <mergeCell ref="E174:E175"/>
    <mergeCell ref="F174:F175"/>
    <mergeCell ref="G181:G183"/>
    <mergeCell ref="B167:D167"/>
    <mergeCell ref="B168:D168"/>
    <mergeCell ref="H167:L167"/>
    <mergeCell ref="H168:L168"/>
    <mergeCell ref="G162:G163"/>
    <mergeCell ref="A164:A166"/>
    <mergeCell ref="B164:B166"/>
    <mergeCell ref="C164:C166"/>
    <mergeCell ref="H164:H166"/>
    <mergeCell ref="I164:I166"/>
    <mergeCell ref="A162:A163"/>
    <mergeCell ref="B162:B163"/>
    <mergeCell ref="C162:C163"/>
    <mergeCell ref="D162:D163"/>
    <mergeCell ref="E162:E163"/>
    <mergeCell ref="F162:F163"/>
    <mergeCell ref="J164:J166"/>
    <mergeCell ref="K164:K166"/>
    <mergeCell ref="L164:L166"/>
    <mergeCell ref="H155:H157"/>
    <mergeCell ref="I155:I157"/>
    <mergeCell ref="J155:J157"/>
    <mergeCell ref="K155:K157"/>
    <mergeCell ref="L155:L157"/>
    <mergeCell ref="A158:A160"/>
    <mergeCell ref="B158:B160"/>
    <mergeCell ref="C158:C160"/>
    <mergeCell ref="G158:G160"/>
    <mergeCell ref="H159:H160"/>
    <mergeCell ref="I159:I160"/>
    <mergeCell ref="J159:J160"/>
    <mergeCell ref="K159:K160"/>
    <mergeCell ref="L159:L160"/>
    <mergeCell ref="G153:G154"/>
    <mergeCell ref="A155:A157"/>
    <mergeCell ref="B155:B157"/>
    <mergeCell ref="C155:C157"/>
    <mergeCell ref="F155:F157"/>
    <mergeCell ref="G155:G157"/>
    <mergeCell ref="A153:A154"/>
    <mergeCell ref="B153:B154"/>
    <mergeCell ref="C153:C154"/>
    <mergeCell ref="D153:D154"/>
    <mergeCell ref="E153:E154"/>
    <mergeCell ref="F153:F154"/>
    <mergeCell ref="K145:K146"/>
    <mergeCell ref="L145:L146"/>
    <mergeCell ref="B151:D151"/>
    <mergeCell ref="B152:D152"/>
    <mergeCell ref="H151:L151"/>
    <mergeCell ref="H152:L152"/>
    <mergeCell ref="I140:I141"/>
    <mergeCell ref="J140:J141"/>
    <mergeCell ref="K140:K141"/>
    <mergeCell ref="L140:L141"/>
    <mergeCell ref="A144:A146"/>
    <mergeCell ref="B144:B146"/>
    <mergeCell ref="C144:C146"/>
    <mergeCell ref="F144:F146"/>
    <mergeCell ref="G144:G146"/>
    <mergeCell ref="H145:H146"/>
    <mergeCell ref="K137:K138"/>
    <mergeCell ref="L137:L138"/>
    <mergeCell ref="A139:A141"/>
    <mergeCell ref="B139:B141"/>
    <mergeCell ref="C139:C141"/>
    <mergeCell ref="F139:F141"/>
    <mergeCell ref="F136:F138"/>
    <mergeCell ref="G136:G138"/>
    <mergeCell ref="G139:G141"/>
    <mergeCell ref="H140:H141"/>
    <mergeCell ref="A136:A138"/>
    <mergeCell ref="B136:B138"/>
    <mergeCell ref="C136:C138"/>
    <mergeCell ref="H137:H138"/>
    <mergeCell ref="I137:I138"/>
    <mergeCell ref="J137:J138"/>
    <mergeCell ref="I145:I146"/>
    <mergeCell ref="J145:J146"/>
    <mergeCell ref="B132:D132"/>
    <mergeCell ref="H132:L132"/>
    <mergeCell ref="A133:A135"/>
    <mergeCell ref="B133:B135"/>
    <mergeCell ref="C133:C135"/>
    <mergeCell ref="D133:D135"/>
    <mergeCell ref="E133:E135"/>
    <mergeCell ref="F133:F135"/>
    <mergeCell ref="G133:G135"/>
    <mergeCell ref="L123:L124"/>
    <mergeCell ref="A126:A129"/>
    <mergeCell ref="B126:B129"/>
    <mergeCell ref="C126:C129"/>
    <mergeCell ref="G126:G129"/>
    <mergeCell ref="H127:H129"/>
    <mergeCell ref="I127:I129"/>
    <mergeCell ref="J127:J129"/>
    <mergeCell ref="K127:K129"/>
    <mergeCell ref="L127:L129"/>
    <mergeCell ref="A122:A124"/>
    <mergeCell ref="B122:B124"/>
    <mergeCell ref="C122:C124"/>
    <mergeCell ref="F122:F124"/>
    <mergeCell ref="G122:G124"/>
    <mergeCell ref="H123:H124"/>
    <mergeCell ref="I123:I124"/>
    <mergeCell ref="J123:J124"/>
    <mergeCell ref="K123:K124"/>
    <mergeCell ref="G119:G121"/>
    <mergeCell ref="A119:A121"/>
    <mergeCell ref="B119:B121"/>
    <mergeCell ref="C119:C121"/>
    <mergeCell ref="H120:H121"/>
    <mergeCell ref="I120:I121"/>
    <mergeCell ref="J120:J121"/>
    <mergeCell ref="K120:K121"/>
    <mergeCell ref="L120:L121"/>
    <mergeCell ref="K116:K117"/>
    <mergeCell ref="L110:L112"/>
    <mergeCell ref="A114:A115"/>
    <mergeCell ref="B114:B115"/>
    <mergeCell ref="C114:C115"/>
    <mergeCell ref="D114:D115"/>
    <mergeCell ref="E114:E115"/>
    <mergeCell ref="F114:F115"/>
    <mergeCell ref="G114:G115"/>
    <mergeCell ref="L116:L117"/>
    <mergeCell ref="C116:C117"/>
    <mergeCell ref="A116:A117"/>
    <mergeCell ref="B116:B117"/>
    <mergeCell ref="H116:H117"/>
    <mergeCell ref="I116:I117"/>
    <mergeCell ref="J116:J117"/>
    <mergeCell ref="L107:L109"/>
    <mergeCell ref="C107:C109"/>
    <mergeCell ref="A110:A112"/>
    <mergeCell ref="B110:B112"/>
    <mergeCell ref="C110:C112"/>
    <mergeCell ref="G107:G109"/>
    <mergeCell ref="G110:G112"/>
    <mergeCell ref="H110:H112"/>
    <mergeCell ref="I110:I112"/>
    <mergeCell ref="J110:J112"/>
    <mergeCell ref="K110:K112"/>
    <mergeCell ref="G103:G105"/>
    <mergeCell ref="F103:F105"/>
    <mergeCell ref="A107:A109"/>
    <mergeCell ref="B107:B109"/>
    <mergeCell ref="H107:H109"/>
    <mergeCell ref="I107:I109"/>
    <mergeCell ref="K96:K98"/>
    <mergeCell ref="L96:L98"/>
    <mergeCell ref="A103:A105"/>
    <mergeCell ref="B103:B105"/>
    <mergeCell ref="C103:C105"/>
    <mergeCell ref="H103:H105"/>
    <mergeCell ref="I103:I105"/>
    <mergeCell ref="J103:J105"/>
    <mergeCell ref="K103:K105"/>
    <mergeCell ref="L103:L105"/>
    <mergeCell ref="A96:A98"/>
    <mergeCell ref="B96:B98"/>
    <mergeCell ref="C96:C98"/>
    <mergeCell ref="H96:H98"/>
    <mergeCell ref="I96:I98"/>
    <mergeCell ref="J96:J98"/>
    <mergeCell ref="J107:J109"/>
    <mergeCell ref="K107:K109"/>
    <mergeCell ref="G94:G95"/>
    <mergeCell ref="H94:H95"/>
    <mergeCell ref="I94:I95"/>
    <mergeCell ref="J94:J95"/>
    <mergeCell ref="K94:K95"/>
    <mergeCell ref="L94:L95"/>
    <mergeCell ref="A94:A95"/>
    <mergeCell ref="B94:B95"/>
    <mergeCell ref="C94:C95"/>
    <mergeCell ref="D94:D95"/>
    <mergeCell ref="E94:E95"/>
    <mergeCell ref="F94:F95"/>
    <mergeCell ref="A90:A92"/>
    <mergeCell ref="B90:B92"/>
    <mergeCell ref="C90:C92"/>
    <mergeCell ref="H90:H92"/>
    <mergeCell ref="G90:G92"/>
    <mergeCell ref="I90:I92"/>
    <mergeCell ref="J90:J92"/>
    <mergeCell ref="K90:K92"/>
    <mergeCell ref="L90:L92"/>
    <mergeCell ref="K84:K86"/>
    <mergeCell ref="L84:L86"/>
    <mergeCell ref="C84:C86"/>
    <mergeCell ref="A87:A89"/>
    <mergeCell ref="B87:B89"/>
    <mergeCell ref="C87:C89"/>
    <mergeCell ref="H88:H89"/>
    <mergeCell ref="I88:I89"/>
    <mergeCell ref="J88:J89"/>
    <mergeCell ref="K88:K89"/>
    <mergeCell ref="L88:L89"/>
    <mergeCell ref="G77:G79"/>
    <mergeCell ref="A84:A86"/>
    <mergeCell ref="B84:B86"/>
    <mergeCell ref="H84:H86"/>
    <mergeCell ref="I84:I86"/>
    <mergeCell ref="J84:J86"/>
    <mergeCell ref="A77:A79"/>
    <mergeCell ref="B77:B79"/>
    <mergeCell ref="C77:C79"/>
    <mergeCell ref="D77:D79"/>
    <mergeCell ref="E77:E79"/>
    <mergeCell ref="F77:F79"/>
    <mergeCell ref="A71:A72"/>
    <mergeCell ref="B71:B72"/>
    <mergeCell ref="C71:C72"/>
    <mergeCell ref="D71:D72"/>
    <mergeCell ref="E71:E72"/>
    <mergeCell ref="F71:F72"/>
    <mergeCell ref="G71:G72"/>
    <mergeCell ref="A73:A75"/>
    <mergeCell ref="B73:B75"/>
    <mergeCell ref="C73:C75"/>
    <mergeCell ref="D73:D75"/>
    <mergeCell ref="E73:E75"/>
    <mergeCell ref="F73:F75"/>
    <mergeCell ref="G73:G75"/>
    <mergeCell ref="I66:I67"/>
    <mergeCell ref="J66:J67"/>
    <mergeCell ref="K66:K67"/>
    <mergeCell ref="L66:L67"/>
    <mergeCell ref="A68:A70"/>
    <mergeCell ref="B68:B70"/>
    <mergeCell ref="C68:C70"/>
    <mergeCell ref="H69:H70"/>
    <mergeCell ref="I69:I70"/>
    <mergeCell ref="J69:J70"/>
    <mergeCell ref="A65:A67"/>
    <mergeCell ref="B65:B67"/>
    <mergeCell ref="C65:C67"/>
    <mergeCell ref="F65:F67"/>
    <mergeCell ref="G65:G67"/>
    <mergeCell ref="H66:H67"/>
    <mergeCell ref="L69:L70"/>
    <mergeCell ref="G69:G70"/>
    <mergeCell ref="F69:F70"/>
    <mergeCell ref="K69:K70"/>
    <mergeCell ref="F62:F64"/>
    <mergeCell ref="G62:G64"/>
    <mergeCell ref="C61:C64"/>
    <mergeCell ref="B61:B64"/>
    <mergeCell ref="A61:A64"/>
    <mergeCell ref="B58:B60"/>
    <mergeCell ref="A58:A60"/>
    <mergeCell ref="H62:H64"/>
    <mergeCell ref="I62:I64"/>
    <mergeCell ref="H59:H60"/>
    <mergeCell ref="G58:G60"/>
    <mergeCell ref="F58:F60"/>
    <mergeCell ref="C58:C60"/>
    <mergeCell ref="K55:K57"/>
    <mergeCell ref="L55:L57"/>
    <mergeCell ref="J59:J60"/>
    <mergeCell ref="I59:I60"/>
    <mergeCell ref="I52:I54"/>
    <mergeCell ref="J52:J54"/>
    <mergeCell ref="K52:K54"/>
    <mergeCell ref="L52:L54"/>
    <mergeCell ref="L62:L64"/>
    <mergeCell ref="J62:J64"/>
    <mergeCell ref="K62:K64"/>
    <mergeCell ref="K58:K60"/>
    <mergeCell ref="L58:L60"/>
    <mergeCell ref="A55:A57"/>
    <mergeCell ref="B55:B57"/>
    <mergeCell ref="C55:C57"/>
    <mergeCell ref="F55:F57"/>
    <mergeCell ref="G55:G57"/>
    <mergeCell ref="H55:H57"/>
    <mergeCell ref="H48:H50"/>
    <mergeCell ref="I48:I50"/>
    <mergeCell ref="J48:J50"/>
    <mergeCell ref="I55:I57"/>
    <mergeCell ref="J55:J57"/>
    <mergeCell ref="K48:K50"/>
    <mergeCell ref="L48:L50"/>
    <mergeCell ref="A51:A54"/>
    <mergeCell ref="B51:B54"/>
    <mergeCell ref="C51:C54"/>
    <mergeCell ref="G51:G54"/>
    <mergeCell ref="H52:H54"/>
    <mergeCell ref="G42:G43"/>
    <mergeCell ref="D38:G39"/>
    <mergeCell ref="A47:A50"/>
    <mergeCell ref="B47:B50"/>
    <mergeCell ref="C47:C50"/>
    <mergeCell ref="G47:G50"/>
    <mergeCell ref="B40:D40"/>
    <mergeCell ref="B41:D41"/>
    <mergeCell ref="H40:L40"/>
    <mergeCell ref="H41:L41"/>
    <mergeCell ref="A42:A43"/>
    <mergeCell ref="B42:B43"/>
    <mergeCell ref="C42:C43"/>
    <mergeCell ref="D42:D43"/>
    <mergeCell ref="E42:E43"/>
    <mergeCell ref="F42:F43"/>
    <mergeCell ref="G35:G37"/>
    <mergeCell ref="A38:A39"/>
    <mergeCell ref="B38:B39"/>
    <mergeCell ref="C38:C39"/>
    <mergeCell ref="A35:A37"/>
    <mergeCell ref="B35:B37"/>
    <mergeCell ref="C35:C37"/>
    <mergeCell ref="D35:D37"/>
    <mergeCell ref="E35:E37"/>
    <mergeCell ref="F35:F37"/>
    <mergeCell ref="G25:G28"/>
    <mergeCell ref="A30:A33"/>
    <mergeCell ref="B30:B33"/>
    <mergeCell ref="C30:C33"/>
    <mergeCell ref="D30:D33"/>
    <mergeCell ref="E30:E33"/>
    <mergeCell ref="F30:F33"/>
    <mergeCell ref="G30:G33"/>
    <mergeCell ref="A24:A28"/>
    <mergeCell ref="B24:B28"/>
    <mergeCell ref="C24:C28"/>
    <mergeCell ref="D25:D28"/>
    <mergeCell ref="E25:E28"/>
    <mergeCell ref="F25:F28"/>
    <mergeCell ref="E12:E13"/>
    <mergeCell ref="F12:F13"/>
    <mergeCell ref="K17:K19"/>
    <mergeCell ref="L17:L19"/>
    <mergeCell ref="F17:F19"/>
    <mergeCell ref="G17:G19"/>
    <mergeCell ref="B20:D20"/>
    <mergeCell ref="H20:L20"/>
    <mergeCell ref="A17:A19"/>
    <mergeCell ref="B17:B19"/>
    <mergeCell ref="C17:C19"/>
    <mergeCell ref="H17:H19"/>
    <mergeCell ref="I17:I19"/>
    <mergeCell ref="J17:J19"/>
    <mergeCell ref="I3:J3"/>
    <mergeCell ref="A246:L246"/>
    <mergeCell ref="J5:L5"/>
    <mergeCell ref="B7:D7"/>
    <mergeCell ref="H7:L7"/>
    <mergeCell ref="H8:L8"/>
    <mergeCell ref="H9:L9"/>
    <mergeCell ref="C8:D8"/>
    <mergeCell ref="C9:D9"/>
    <mergeCell ref="D4:D6"/>
    <mergeCell ref="C4:C6"/>
    <mergeCell ref="B4:B6"/>
    <mergeCell ref="G12:G13"/>
    <mergeCell ref="A14:A16"/>
    <mergeCell ref="B14:B16"/>
    <mergeCell ref="C14:C16"/>
    <mergeCell ref="D15:D16"/>
    <mergeCell ref="E15:E16"/>
    <mergeCell ref="F15:F16"/>
    <mergeCell ref="G15:G16"/>
    <mergeCell ref="A11:A13"/>
    <mergeCell ref="B11:B13"/>
    <mergeCell ref="C11:C13"/>
    <mergeCell ref="D12:D13"/>
  </mergeCells>
  <hyperlinks>
    <hyperlink ref="I3" r:id="rId1"/>
  </hyperlinks>
  <printOptions horizontalCentered="1"/>
  <pageMargins left="0.23622047244094491" right="0.23622047244094491" top="0.78740157480314965" bottom="0.55118110236220474" header="0.39370078740157483" footer="0.39370078740157483"/>
  <pageSetup paperSize="9" scale="72" firstPageNumber="9" fitToHeight="0" orientation="landscape" useFirstPageNumber="1" r:id="rId2"/>
  <headerFooter>
    <oddHeader>&amp;C
&amp;P</oddHeader>
  </headerFooter>
  <rowBreaks count="4" manualBreakCount="4">
    <brk id="54" max="16383" man="1"/>
    <brk id="76" max="16383" man="1"/>
    <brk id="115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Planas</vt:lpstr>
      <vt:lpstr>Planas!Print_Area</vt:lpstr>
      <vt:lpstr>Planas!Print_Titles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Vilija Zakarauskienė</dc:creator>
  <cp:lastModifiedBy>Vitalija Romanovienė</cp:lastModifiedBy>
  <cp:lastPrinted>2018-02-12T11:49:09Z</cp:lastPrinted>
  <dcterms:created xsi:type="dcterms:W3CDTF">2018-01-18T12:52:52Z</dcterms:created>
  <dcterms:modified xsi:type="dcterms:W3CDTF">2018-02-21T07:38:31Z</dcterms:modified>
</cp:coreProperties>
</file>